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Gladys.Njoroge\Documents\"/>
    </mc:Choice>
  </mc:AlternateContent>
  <bookViews>
    <workbookView xWindow="0" yWindow="0" windowWidth="19200" windowHeight="6465" tabRatio="934"/>
  </bookViews>
  <sheets>
    <sheet name="Guide" sheetId="11" r:id="rId1"/>
    <sheet name="Capital Costs Details" sheetId="1" r:id="rId2"/>
    <sheet name="Tariff Inputs" sheetId="2" r:id="rId3"/>
    <sheet name="Loan Drawdown" sheetId="5" r:id="rId4"/>
    <sheet name="Load Profile" sheetId="10" r:id="rId5"/>
    <sheet name="Tariff Calculator" sheetId="3" r:id="rId6"/>
    <sheet name="Loan Repayment" sheetId="12" r:id="rId7"/>
    <sheet name="Financials" sheetId="7" r:id="rId8"/>
    <sheet name="Outputs Summary" sheetId="9" r:id="rId9"/>
    <sheet name="Sensitivity" sheetId="14" r:id="rId10"/>
  </sheets>
  <definedNames>
    <definedName name="Capital_Costs_Details">#REF!</definedName>
    <definedName name="Currency" localSheetId="2">'Tariff Inputs'!$H$65:$H$69</definedName>
    <definedName name="Currency">'Tariff Inputs'!$H$65:$H$69</definedName>
    <definedName name="_xlnm.Print_Area" localSheetId="1">'Capital Costs Details'!$C$5:$L$187</definedName>
    <definedName name="_xlnm.Print_Area" localSheetId="3">'Loan Drawdown'!$C$3:$AD$51</definedName>
    <definedName name="_xlnm.Print_Area" localSheetId="6">'Loan Repayment'!$C$3:$S$13</definedName>
    <definedName name="_xlnm.Print_Area" localSheetId="8">'Outputs Summary'!$B$2:$W$62</definedName>
    <definedName name="_xlnm.Print_Area" localSheetId="9">Sensitivity!$B$2:$N$77</definedName>
    <definedName name="_xlnm.Print_Area" localSheetId="5">'Tariff Calculator'!$C$3:$AC$102</definedName>
    <definedName name="_xlnm.Print_Area" localSheetId="2">'Tariff Inputs'!$C$4:$I$124</definedName>
    <definedName name="_xlnm.Print_Titles" localSheetId="1">'Capital Costs Details'!$5:$8</definedName>
    <definedName name="_xlnm.Print_Titles" localSheetId="7">Financials!$C:$C,Financials!#REF!</definedName>
    <definedName name="_xlnm.Print_Titles" localSheetId="3">'Loan Drawdown'!$C:$C</definedName>
    <definedName name="_xlnm.Print_Titles" localSheetId="5">'Tariff Calculator'!$C:$C,'Tariff Calculator'!$5:$5</definedName>
  </definedNames>
  <calcPr calcId="162913" iterate="1" iterateCount="100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0" i="11" l="1"/>
  <c r="D102" i="2"/>
  <c r="F9" i="5"/>
  <c r="D14" i="2"/>
  <c r="F85" i="2"/>
  <c r="H84" i="2"/>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J10" i="7"/>
  <c r="J9" i="7"/>
  <c r="AD27" i="3"/>
  <c r="AE27" i="3"/>
  <c r="AF27" i="3"/>
  <c r="AG27" i="3"/>
  <c r="AH27" i="3"/>
  <c r="AI27" i="3"/>
  <c r="AJ27" i="3"/>
  <c r="AK27" i="3"/>
  <c r="AL27" i="3"/>
  <c r="AM27" i="3"/>
  <c r="AN27" i="3"/>
  <c r="AO27" i="3"/>
  <c r="AP27" i="3"/>
  <c r="AQ27" i="3"/>
  <c r="AR27" i="3"/>
  <c r="AD28" i="3"/>
  <c r="AD31" i="3" s="1"/>
  <c r="AE28" i="3"/>
  <c r="AE31" i="3" s="1"/>
  <c r="AF28" i="3"/>
  <c r="AF31" i="3" s="1"/>
  <c r="AG28" i="3"/>
  <c r="AG31" i="3" s="1"/>
  <c r="AH28" i="3"/>
  <c r="AH31" i="3" s="1"/>
  <c r="AI28" i="3"/>
  <c r="AI31" i="3" s="1"/>
  <c r="AJ28" i="3"/>
  <c r="AJ31" i="3" s="1"/>
  <c r="AK28" i="3"/>
  <c r="AK31" i="3" s="1"/>
  <c r="AL28" i="3"/>
  <c r="AL31" i="3" s="1"/>
  <c r="AM28" i="3"/>
  <c r="AM31" i="3" s="1"/>
  <c r="AN28" i="3"/>
  <c r="AN31" i="3" s="1"/>
  <c r="AO28" i="3"/>
  <c r="AO31" i="3" s="1"/>
  <c r="AP28" i="3"/>
  <c r="AP31" i="3" s="1"/>
  <c r="AQ28" i="3"/>
  <c r="AQ31" i="3" s="1"/>
  <c r="AR28" i="3"/>
  <c r="AR31" i="3" s="1"/>
  <c r="AD29" i="3"/>
  <c r="AE29" i="3"/>
  <c r="AF29" i="3"/>
  <c r="AG29" i="3"/>
  <c r="AH29" i="3"/>
  <c r="AI29" i="3"/>
  <c r="AJ29" i="3"/>
  <c r="AK29" i="3"/>
  <c r="AL29" i="3"/>
  <c r="AM29" i="3"/>
  <c r="AN29" i="3"/>
  <c r="AO29" i="3"/>
  <c r="AP29" i="3"/>
  <c r="AQ29" i="3"/>
  <c r="AR29" i="3"/>
  <c r="AD30" i="3"/>
  <c r="AE30" i="3"/>
  <c r="AF30" i="3"/>
  <c r="AG30" i="3"/>
  <c r="AH30" i="3"/>
  <c r="AI30" i="3"/>
  <c r="AJ30" i="3"/>
  <c r="AK30" i="3"/>
  <c r="AL30" i="3"/>
  <c r="AM30" i="3"/>
  <c r="AN30" i="3"/>
  <c r="AO30" i="3"/>
  <c r="AP30" i="3"/>
  <c r="AQ30" i="3"/>
  <c r="AR30" i="3"/>
  <c r="AD14" i="3"/>
  <c r="AE14" i="3"/>
  <c r="AF14" i="3"/>
  <c r="AG14" i="3"/>
  <c r="AH14" i="3"/>
  <c r="AI14" i="3"/>
  <c r="AJ14" i="3"/>
  <c r="AK14" i="3"/>
  <c r="AL14" i="3"/>
  <c r="AM14" i="3"/>
  <c r="AN14" i="3"/>
  <c r="AO14" i="3"/>
  <c r="AP14" i="3"/>
  <c r="AQ14" i="3"/>
  <c r="AR14" i="3"/>
  <c r="F188" i="1"/>
  <c r="E188" i="1"/>
  <c r="AD16" i="3"/>
  <c r="AE16" i="3"/>
  <c r="AF16" i="3"/>
  <c r="AG16" i="3"/>
  <c r="AH16" i="3"/>
  <c r="AI16" i="3"/>
  <c r="AJ16" i="3"/>
  <c r="AK16" i="3"/>
  <c r="AL16" i="3"/>
  <c r="AM16" i="3"/>
  <c r="AN16" i="3"/>
  <c r="AO16" i="3"/>
  <c r="AP16" i="3"/>
  <c r="AQ16" i="3"/>
  <c r="AR16" i="3"/>
  <c r="D46" i="9" l="1"/>
  <c r="D59" i="9" s="1"/>
  <c r="D44" i="9"/>
  <c r="D57" i="9" s="1"/>
  <c r="D42" i="9"/>
  <c r="D55" i="9" s="1"/>
  <c r="D40" i="9"/>
  <c r="D53" i="9" s="1"/>
  <c r="D45" i="9"/>
  <c r="D58" i="9" s="1"/>
  <c r="D43" i="9"/>
  <c r="D56" i="9" s="1"/>
  <c r="D41" i="9"/>
  <c r="D54" i="9" s="1"/>
  <c r="D39" i="9"/>
  <c r="D52" i="9" s="1"/>
  <c r="C45" i="9"/>
  <c r="C58" i="9" s="1"/>
  <c r="C43" i="9"/>
  <c r="C56" i="9" s="1"/>
  <c r="C41" i="9"/>
  <c r="C54" i="9" s="1"/>
  <c r="C39" i="9"/>
  <c r="C52" i="9" s="1"/>
  <c r="F98" i="3" l="1"/>
  <c r="G98" i="3"/>
  <c r="H98" i="3"/>
  <c r="I98" i="3"/>
  <c r="J98" i="3"/>
  <c r="K98" i="3"/>
  <c r="L98" i="3"/>
  <c r="M98" i="3"/>
  <c r="N98" i="3"/>
  <c r="O98" i="3"/>
  <c r="P98" i="3"/>
  <c r="Q98" i="3"/>
  <c r="R98" i="3"/>
  <c r="T98" i="3"/>
  <c r="U98" i="3"/>
  <c r="V98" i="3"/>
  <c r="W98" i="3"/>
  <c r="Y98" i="3"/>
  <c r="Z98" i="3"/>
  <c r="AA98" i="3"/>
  <c r="AB98" i="3"/>
  <c r="AC98" i="3"/>
  <c r="AD98" i="3"/>
  <c r="AE98" i="3"/>
  <c r="AF98" i="3"/>
  <c r="AG98" i="3"/>
  <c r="AH98" i="3"/>
  <c r="AI98" i="3"/>
  <c r="AJ98" i="3"/>
  <c r="AK98" i="3"/>
  <c r="AL98" i="3"/>
  <c r="AM98" i="3"/>
  <c r="AN98" i="3"/>
  <c r="AO98" i="3"/>
  <c r="AP98" i="3"/>
  <c r="AQ98" i="3"/>
  <c r="AR98"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E98" i="3"/>
  <c r="E94" i="3"/>
  <c r="E90" i="3"/>
  <c r="AR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N90" i="3"/>
  <c r="F90" i="3"/>
  <c r="G90" i="3"/>
  <c r="H90" i="3"/>
  <c r="I90" i="3"/>
  <c r="J90" i="3"/>
  <c r="K90" i="3"/>
  <c r="L90" i="3"/>
  <c r="M90" i="3"/>
  <c r="J18" i="3"/>
  <c r="S98" i="3"/>
  <c r="X98" i="3" l="1"/>
  <c r="I90" i="1" l="1"/>
  <c r="I89" i="1"/>
  <c r="I88" i="1"/>
  <c r="I87" i="1"/>
  <c r="I12" i="1"/>
  <c r="I105" i="1" s="1"/>
  <c r="I140" i="1"/>
  <c r="I133" i="1"/>
  <c r="I129" i="1"/>
  <c r="I128" i="1"/>
  <c r="I127" i="1"/>
  <c r="I126" i="1"/>
  <c r="I125" i="1"/>
  <c r="I123" i="1"/>
  <c r="I122" i="1"/>
  <c r="I121" i="1"/>
  <c r="I120" i="1"/>
  <c r="I119" i="1"/>
  <c r="I118" i="1"/>
  <c r="I117" i="1"/>
  <c r="I116" i="1"/>
  <c r="I115" i="1"/>
  <c r="I114" i="1"/>
  <c r="I113" i="1"/>
  <c r="I112" i="1"/>
  <c r="J112" i="1" s="1"/>
  <c r="I111" i="1"/>
  <c r="I109" i="1"/>
  <c r="I108" i="1"/>
  <c r="I107" i="1"/>
  <c r="I100" i="1"/>
  <c r="I99" i="1"/>
  <c r="I98" i="1"/>
  <c r="I97" i="1"/>
  <c r="I96" i="1"/>
  <c r="I77" i="1"/>
  <c r="I80" i="1"/>
  <c r="I79" i="1"/>
  <c r="I78" i="1"/>
  <c r="I76" i="1"/>
  <c r="I75" i="1"/>
  <c r="I74" i="1"/>
  <c r="I73" i="1"/>
  <c r="I72" i="1"/>
  <c r="I69" i="1"/>
  <c r="I61" i="1"/>
  <c r="I60" i="1"/>
  <c r="I59" i="1"/>
  <c r="I58" i="1"/>
  <c r="I57" i="1"/>
  <c r="I56" i="1"/>
  <c r="I55" i="1"/>
  <c r="I54" i="1"/>
  <c r="I53" i="1"/>
  <c r="I52" i="1"/>
  <c r="I44" i="1"/>
  <c r="I43" i="1"/>
  <c r="I42" i="1"/>
  <c r="I41" i="1"/>
  <c r="I40" i="1"/>
  <c r="I39" i="1"/>
  <c r="I38" i="1"/>
  <c r="I37" i="1"/>
  <c r="I26" i="1"/>
  <c r="I102" i="1"/>
  <c r="I82" i="1"/>
  <c r="I63" i="1"/>
  <c r="I32" i="1"/>
  <c r="I13" i="1"/>
  <c r="I106" i="1" s="1"/>
  <c r="G112" i="1"/>
  <c r="C110" i="11"/>
  <c r="F21" i="3"/>
  <c r="F9" i="7" s="1"/>
  <c r="G21" i="3"/>
  <c r="G9" i="7" s="1"/>
  <c r="H21" i="3"/>
  <c r="H9" i="7" s="1"/>
  <c r="I21" i="3"/>
  <c r="I9" i="7" s="1"/>
  <c r="E21" i="3"/>
  <c r="E9" i="7" s="1"/>
  <c r="E20" i="3"/>
  <c r="F20" i="3"/>
  <c r="G20" i="3"/>
  <c r="H20" i="3"/>
  <c r="I20" i="3"/>
  <c r="C73" i="11"/>
  <c r="C72" i="11"/>
  <c r="C71" i="11"/>
  <c r="C70" i="11"/>
  <c r="C86" i="11"/>
  <c r="C85" i="11"/>
  <c r="I85" i="1" l="1"/>
  <c r="I86" i="1"/>
  <c r="I35" i="1"/>
  <c r="I143" i="1"/>
  <c r="I36" i="1"/>
  <c r="I66" i="1"/>
  <c r="I67" i="1"/>
  <c r="I68" i="2"/>
  <c r="D21" i="3" l="1"/>
  <c r="D20" i="3"/>
  <c r="K9" i="7"/>
  <c r="D71" i="3"/>
  <c r="D59" i="3"/>
  <c r="D47" i="3"/>
  <c r="D28" i="3"/>
  <c r="D49" i="3"/>
  <c r="D32" i="3"/>
  <c r="D25" i="3"/>
  <c r="D70" i="3"/>
  <c r="D58" i="3"/>
  <c r="D46" i="3"/>
  <c r="D27" i="3"/>
  <c r="D17" i="3"/>
  <c r="D48" i="3"/>
  <c r="D31" i="3"/>
  <c r="D61" i="3"/>
  <c r="D60" i="3"/>
  <c r="G44" i="1"/>
  <c r="L9" i="7" l="1"/>
  <c r="J108" i="1"/>
  <c r="G108" i="1"/>
  <c r="D105" i="2"/>
  <c r="D104" i="2"/>
  <c r="D103" i="2"/>
  <c r="C108" i="11"/>
  <c r="C106" i="11"/>
  <c r="C104" i="11"/>
  <c r="C102" i="11"/>
  <c r="M9" i="7" l="1"/>
  <c r="F17" i="5"/>
  <c r="F13" i="5"/>
  <c r="E113" i="2"/>
  <c r="E114" i="2"/>
  <c r="E112" i="2"/>
  <c r="H33" i="9"/>
  <c r="G33" i="9"/>
  <c r="J33" i="9"/>
  <c r="I33" i="9"/>
  <c r="F33" i="9"/>
  <c r="E33" i="9"/>
  <c r="C100" i="11"/>
  <c r="C98" i="11"/>
  <c r="D12" i="12"/>
  <c r="F16" i="12"/>
  <c r="G16" i="12" s="1"/>
  <c r="H16" i="12" s="1"/>
  <c r="I16" i="12" s="1"/>
  <c r="J16" i="12" s="1"/>
  <c r="K16" i="12" s="1"/>
  <c r="L16" i="12" s="1"/>
  <c r="M16" i="12" s="1"/>
  <c r="N16" i="12" s="1"/>
  <c r="O16" i="12" s="1"/>
  <c r="P16" i="12" s="1"/>
  <c r="Q16" i="12" s="1"/>
  <c r="R16" i="12" s="1"/>
  <c r="S16" i="12" s="1"/>
  <c r="T16" i="12" s="1"/>
  <c r="U16" i="12" s="1"/>
  <c r="V16" i="12" s="1"/>
  <c r="W16" i="12" s="1"/>
  <c r="X16" i="12" s="1"/>
  <c r="Y16" i="12" s="1"/>
  <c r="Z16" i="12" s="1"/>
  <c r="AA16" i="12" s="1"/>
  <c r="AB16" i="12" s="1"/>
  <c r="AC16" i="12" s="1"/>
  <c r="AD16" i="12" s="1"/>
  <c r="AE16" i="12" s="1"/>
  <c r="AF16" i="12" s="1"/>
  <c r="AG16" i="12" s="1"/>
  <c r="AH16" i="12" s="1"/>
  <c r="AI16" i="12" s="1"/>
  <c r="AJ16" i="12" s="1"/>
  <c r="AK16" i="12" s="1"/>
  <c r="AL16" i="12" s="1"/>
  <c r="AM16" i="12" s="1"/>
  <c r="AN16" i="12" s="1"/>
  <c r="AO16" i="12" s="1"/>
  <c r="AP16" i="12" s="1"/>
  <c r="AQ16" i="12" s="1"/>
  <c r="AR16" i="12" s="1"/>
  <c r="D113" i="2"/>
  <c r="C83" i="11"/>
  <c r="V18" i="12" l="1"/>
  <c r="Z18" i="12"/>
  <c r="AD18" i="12"/>
  <c r="AH18" i="12"/>
  <c r="AL18" i="12"/>
  <c r="AP18" i="12"/>
  <c r="AK18" i="12"/>
  <c r="S18" i="12"/>
  <c r="W18" i="12"/>
  <c r="AA18" i="12"/>
  <c r="AE18" i="12"/>
  <c r="AI18" i="12"/>
  <c r="AM18" i="12"/>
  <c r="AQ18" i="12"/>
  <c r="Y18" i="12"/>
  <c r="AC18" i="12"/>
  <c r="AG18" i="12"/>
  <c r="AO18" i="12"/>
  <c r="T18" i="12"/>
  <c r="X18" i="12"/>
  <c r="AB18" i="12"/>
  <c r="AF18" i="12"/>
  <c r="AJ18" i="12"/>
  <c r="AN18" i="12"/>
  <c r="AR18" i="12"/>
  <c r="U18" i="12"/>
  <c r="N9" i="7"/>
  <c r="G7" i="10"/>
  <c r="F7" i="10"/>
  <c r="E7" i="10"/>
  <c r="D7" i="10"/>
  <c r="O9" i="7" l="1"/>
  <c r="H34" i="10"/>
  <c r="D13" i="12"/>
  <c r="G85" i="2"/>
  <c r="G84" i="2"/>
  <c r="C81" i="11"/>
  <c r="P9" i="7" l="1"/>
  <c r="J92" i="7"/>
  <c r="K92" i="7"/>
  <c r="L92" i="7"/>
  <c r="M92" i="7"/>
  <c r="N92" i="7"/>
  <c r="O92" i="7"/>
  <c r="P92" i="7"/>
  <c r="Q92" i="7"/>
  <c r="R92" i="7"/>
  <c r="S92" i="7"/>
  <c r="U92" i="7"/>
  <c r="V92" i="7"/>
  <c r="W92" i="7"/>
  <c r="X92" i="7"/>
  <c r="Y92" i="7"/>
  <c r="Z92" i="7"/>
  <c r="AA92" i="7"/>
  <c r="AB92" i="7"/>
  <c r="AC92" i="7"/>
  <c r="AD92" i="7"/>
  <c r="AE92" i="7"/>
  <c r="AF92" i="7"/>
  <c r="AG92" i="7"/>
  <c r="AH92" i="7"/>
  <c r="AI92" i="7"/>
  <c r="AJ92" i="7"/>
  <c r="AK92" i="7"/>
  <c r="AL92" i="7"/>
  <c r="AM92" i="7"/>
  <c r="AN92" i="7"/>
  <c r="AO92" i="7"/>
  <c r="AP92" i="7"/>
  <c r="AQ92" i="7"/>
  <c r="AR92" i="7"/>
  <c r="J74" i="7"/>
  <c r="K74" i="7"/>
  <c r="L74" i="7"/>
  <c r="M74" i="7"/>
  <c r="N74" i="7"/>
  <c r="O74" i="7"/>
  <c r="P74" i="7"/>
  <c r="Q74" i="7"/>
  <c r="R74" i="7"/>
  <c r="S74" i="7"/>
  <c r="U74" i="7"/>
  <c r="V74" i="7"/>
  <c r="W74" i="7"/>
  <c r="X74" i="7"/>
  <c r="Y74" i="7"/>
  <c r="Z74" i="7"/>
  <c r="AA74" i="7"/>
  <c r="AB74" i="7"/>
  <c r="AC74" i="7"/>
  <c r="AD74" i="7"/>
  <c r="AE74" i="7"/>
  <c r="AF74" i="7"/>
  <c r="AG74" i="7"/>
  <c r="AH74" i="7"/>
  <c r="AI74" i="7"/>
  <c r="AJ74" i="7"/>
  <c r="AK74" i="7"/>
  <c r="AL74" i="7"/>
  <c r="AM74" i="7"/>
  <c r="AN74" i="7"/>
  <c r="AO74" i="7"/>
  <c r="AP74" i="7"/>
  <c r="AQ74" i="7"/>
  <c r="AR74" i="7"/>
  <c r="I160" i="1"/>
  <c r="E163" i="1"/>
  <c r="F163" i="1"/>
  <c r="G162" i="1"/>
  <c r="J162" i="1"/>
  <c r="G171" i="1"/>
  <c r="G170" i="1"/>
  <c r="G168" i="1"/>
  <c r="E151" i="1"/>
  <c r="F151" i="1"/>
  <c r="G147" i="1"/>
  <c r="J147" i="1" s="1"/>
  <c r="G148" i="1"/>
  <c r="J148" i="1"/>
  <c r="G149" i="1"/>
  <c r="J149" i="1" s="1"/>
  <c r="Q9" i="7" l="1"/>
  <c r="AR102" i="7"/>
  <c r="AR104" i="7" s="1"/>
  <c r="E11" i="7"/>
  <c r="R9" i="7" l="1"/>
  <c r="D151" i="1"/>
  <c r="D65" i="2" l="1"/>
  <c r="S9" i="7"/>
  <c r="C96" i="11"/>
  <c r="C95" i="11"/>
  <c r="C94" i="11"/>
  <c r="C92" i="11"/>
  <c r="C93" i="11"/>
  <c r="C91" i="11"/>
  <c r="C89" i="11"/>
  <c r="C88" i="11"/>
  <c r="C87" i="11"/>
  <c r="C82" i="11"/>
  <c r="C80" i="11"/>
  <c r="C79" i="11"/>
  <c r="C78" i="11"/>
  <c r="C77" i="11"/>
  <c r="C76" i="11"/>
  <c r="C75" i="11"/>
  <c r="C74" i="11"/>
  <c r="T9" i="7" l="1"/>
  <c r="E26" i="5"/>
  <c r="E156" i="1"/>
  <c r="U9" i="7" l="1"/>
  <c r="F5" i="7"/>
  <c r="F11" i="7" s="1"/>
  <c r="V9" i="7" l="1"/>
  <c r="G5" i="7"/>
  <c r="G11" i="7" s="1"/>
  <c r="D102" i="3"/>
  <c r="D100" i="3"/>
  <c r="D96" i="3"/>
  <c r="D92" i="3"/>
  <c r="D106" i="2"/>
  <c r="E83" i="3" s="1"/>
  <c r="F83" i="3" s="1"/>
  <c r="G83" i="3" s="1"/>
  <c r="H83" i="3" s="1"/>
  <c r="I83" i="3" s="1"/>
  <c r="J83" i="3" s="1"/>
  <c r="K83" i="3" s="1"/>
  <c r="L83" i="3" s="1"/>
  <c r="M83" i="3" s="1"/>
  <c r="N83" i="3" s="1"/>
  <c r="O83" i="3" s="1"/>
  <c r="P83" i="3" s="1"/>
  <c r="Q83" i="3" s="1"/>
  <c r="R83" i="3" s="1"/>
  <c r="S83" i="3" s="1"/>
  <c r="T83" i="3" s="1"/>
  <c r="U83" i="3" s="1"/>
  <c r="V83" i="3" s="1"/>
  <c r="W83" i="3" s="1"/>
  <c r="X83" i="3" s="1"/>
  <c r="Y83" i="3" s="1"/>
  <c r="Z83" i="3" s="1"/>
  <c r="AA83" i="3" s="1"/>
  <c r="AB83" i="3" s="1"/>
  <c r="AC83" i="3" s="1"/>
  <c r="AD83" i="3" s="1"/>
  <c r="AE83" i="3" s="1"/>
  <c r="AF83" i="3" s="1"/>
  <c r="AG83" i="3" s="1"/>
  <c r="AH83" i="3" s="1"/>
  <c r="AI83" i="3" s="1"/>
  <c r="AJ83" i="3" s="1"/>
  <c r="AK83" i="3" s="1"/>
  <c r="AL83" i="3" s="1"/>
  <c r="AM83" i="3" s="1"/>
  <c r="AN83" i="3" s="1"/>
  <c r="AO83" i="3" s="1"/>
  <c r="AP83" i="3" s="1"/>
  <c r="AQ83" i="3" s="1"/>
  <c r="AR83" i="3" s="1"/>
  <c r="W9" i="7" l="1"/>
  <c r="H5" i="7"/>
  <c r="H11" i="7" s="1"/>
  <c r="H9" i="10"/>
  <c r="H10" i="10"/>
  <c r="H11" i="10"/>
  <c r="H12" i="10"/>
  <c r="H13" i="10"/>
  <c r="H14" i="10"/>
  <c r="H15" i="10"/>
  <c r="H16" i="10"/>
  <c r="H17" i="10"/>
  <c r="H18" i="10"/>
  <c r="H19" i="10"/>
  <c r="H20" i="10"/>
  <c r="H21" i="10"/>
  <c r="H22" i="10"/>
  <c r="H23" i="10"/>
  <c r="H24" i="10"/>
  <c r="H25" i="10"/>
  <c r="H26" i="10"/>
  <c r="H27" i="10"/>
  <c r="H28" i="10"/>
  <c r="H29" i="10"/>
  <c r="H30" i="10"/>
  <c r="H31" i="10"/>
  <c r="H8" i="10"/>
  <c r="E106" i="2"/>
  <c r="E32" i="10"/>
  <c r="E33" i="10" s="1"/>
  <c r="X9" i="7" l="1"/>
  <c r="I5" i="7"/>
  <c r="I11" i="7" s="1"/>
  <c r="F32" i="10"/>
  <c r="F33" i="10" s="1"/>
  <c r="G32" i="10"/>
  <c r="G33" i="10" s="1"/>
  <c r="D32" i="10"/>
  <c r="D33" i="10" s="1"/>
  <c r="Y9" i="7" l="1"/>
  <c r="J5" i="7"/>
  <c r="J11" i="7" s="1"/>
  <c r="H32" i="10"/>
  <c r="F102" i="2" s="1"/>
  <c r="G102" i="2" s="1"/>
  <c r="H33" i="10"/>
  <c r="D52" i="2"/>
  <c r="I15" i="1"/>
  <c r="E17" i="3"/>
  <c r="E10" i="7" s="1"/>
  <c r="J187" i="1"/>
  <c r="J186" i="1"/>
  <c r="J185" i="1"/>
  <c r="J184" i="1"/>
  <c r="J183" i="1"/>
  <c r="J181" i="1"/>
  <c r="J180" i="1"/>
  <c r="J179" i="1"/>
  <c r="J176" i="1"/>
  <c r="J175" i="1"/>
  <c r="J174" i="1"/>
  <c r="J173" i="1"/>
  <c r="J171" i="1"/>
  <c r="J170" i="1"/>
  <c r="J169" i="1"/>
  <c r="J168" i="1"/>
  <c r="G187" i="1"/>
  <c r="G186" i="1"/>
  <c r="G185" i="1"/>
  <c r="G184" i="1"/>
  <c r="D169" i="1"/>
  <c r="G172" i="1"/>
  <c r="G173" i="1"/>
  <c r="G174" i="1"/>
  <c r="G175" i="1"/>
  <c r="G176" i="1"/>
  <c r="G177" i="1"/>
  <c r="J177" i="1" s="1"/>
  <c r="G178" i="1"/>
  <c r="J178" i="1" s="1"/>
  <c r="G179" i="1"/>
  <c r="G180" i="1"/>
  <c r="G181" i="1"/>
  <c r="G182" i="1"/>
  <c r="J182" i="1" s="1"/>
  <c r="G183" i="1"/>
  <c r="I51" i="1"/>
  <c r="I50" i="1"/>
  <c r="I93" i="1"/>
  <c r="I92" i="1"/>
  <c r="I29" i="1"/>
  <c r="I28" i="1"/>
  <c r="I27" i="1"/>
  <c r="I24" i="1"/>
  <c r="I23" i="1"/>
  <c r="I17" i="1"/>
  <c r="I14" i="1"/>
  <c r="I10" i="1"/>
  <c r="I159" i="1"/>
  <c r="G47" i="1"/>
  <c r="J47" i="1" s="1"/>
  <c r="J129" i="1"/>
  <c r="G129" i="1"/>
  <c r="F5" i="3"/>
  <c r="J172" i="1" l="1"/>
  <c r="J188" i="1" s="1"/>
  <c r="G188" i="1"/>
  <c r="Z9" i="7"/>
  <c r="I103" i="1"/>
  <c r="I33" i="1"/>
  <c r="I83" i="1"/>
  <c r="I64" i="1"/>
  <c r="D170" i="1"/>
  <c r="D171" i="1" s="1"/>
  <c r="D172" i="1" s="1"/>
  <c r="D173" i="1" s="1"/>
  <c r="D174" i="1" s="1"/>
  <c r="D175" i="1" s="1"/>
  <c r="D78" i="3"/>
  <c r="D54" i="2"/>
  <c r="G92" i="7"/>
  <c r="G74" i="7"/>
  <c r="F92" i="7"/>
  <c r="F74" i="7"/>
  <c r="I74" i="7"/>
  <c r="I92" i="7"/>
  <c r="H74" i="7"/>
  <c r="H92" i="7"/>
  <c r="E92" i="7"/>
  <c r="E74" i="7"/>
  <c r="K5" i="7"/>
  <c r="K11" i="7" s="1"/>
  <c r="F104" i="2"/>
  <c r="G104" i="2" s="1"/>
  <c r="F103" i="2"/>
  <c r="G103" i="2" s="1"/>
  <c r="F105" i="2"/>
  <c r="G105" i="2" s="1"/>
  <c r="A28" i="9" s="1"/>
  <c r="E16" i="3"/>
  <c r="F16" i="3" s="1"/>
  <c r="F17" i="3"/>
  <c r="F10" i="7" s="1"/>
  <c r="G5" i="3"/>
  <c r="G16" i="3" l="1"/>
  <c r="H16" i="3" s="1"/>
  <c r="I16" i="3" s="1"/>
  <c r="J16" i="3" s="1"/>
  <c r="K16" i="3" s="1"/>
  <c r="L16" i="3" s="1"/>
  <c r="M16" i="3" s="1"/>
  <c r="N16" i="3" s="1"/>
  <c r="O16" i="3" s="1"/>
  <c r="P16" i="3" s="1"/>
  <c r="Q16" i="3" s="1"/>
  <c r="R16" i="3" s="1"/>
  <c r="S16" i="3" s="1"/>
  <c r="T16" i="3" s="1"/>
  <c r="U16" i="3" s="1"/>
  <c r="V16" i="3" s="1"/>
  <c r="W16" i="3" s="1"/>
  <c r="X16" i="3" s="1"/>
  <c r="Y16" i="3" s="1"/>
  <c r="Z16" i="3" s="1"/>
  <c r="AA16" i="3" s="1"/>
  <c r="AB16" i="3" s="1"/>
  <c r="AC16" i="3" s="1"/>
  <c r="AA9" i="7"/>
  <c r="E13" i="7"/>
  <c r="L5" i="7"/>
  <c r="L11" i="7" s="1"/>
  <c r="E78" i="3"/>
  <c r="F106" i="2"/>
  <c r="H5" i="3"/>
  <c r="G17" i="3"/>
  <c r="G10" i="7" s="1"/>
  <c r="D176" i="1"/>
  <c r="D177" i="1" s="1"/>
  <c r="AB9" i="7" l="1"/>
  <c r="O18" i="3"/>
  <c r="R18" i="3"/>
  <c r="L18" i="3"/>
  <c r="P18" i="3"/>
  <c r="N18" i="3"/>
  <c r="Q18" i="3"/>
  <c r="F13" i="7"/>
  <c r="M5" i="7"/>
  <c r="M11" i="7" s="1"/>
  <c r="D178" i="1"/>
  <c r="D179" i="1" s="1"/>
  <c r="D180" i="1" s="1"/>
  <c r="F78" i="3"/>
  <c r="F58" i="3"/>
  <c r="F46" i="3"/>
  <c r="I5" i="3"/>
  <c r="H17" i="3"/>
  <c r="H10" i="7" s="1"/>
  <c r="AC9" i="7" l="1"/>
  <c r="D181" i="1"/>
  <c r="D182" i="1" s="1"/>
  <c r="S18" i="3"/>
  <c r="G13" i="7"/>
  <c r="G46" i="3"/>
  <c r="N5" i="7"/>
  <c r="N11" i="7" s="1"/>
  <c r="G78" i="3"/>
  <c r="G58" i="3"/>
  <c r="J5" i="3"/>
  <c r="I17" i="3"/>
  <c r="I10" i="7" s="1"/>
  <c r="AD9" i="7" l="1"/>
  <c r="D183" i="1"/>
  <c r="D184" i="1" s="1"/>
  <c r="D185" i="1" s="1"/>
  <c r="D186" i="1" s="1"/>
  <c r="D187" i="1" s="1"/>
  <c r="W18" i="3"/>
  <c r="Z18" i="3"/>
  <c r="AA18" i="3"/>
  <c r="AH18" i="3"/>
  <c r="X18" i="3"/>
  <c r="T18" i="3"/>
  <c r="V18" i="3"/>
  <c r="AF18" i="3"/>
  <c r="AM18" i="3"/>
  <c r="Y18" i="3"/>
  <c r="AL18" i="3"/>
  <c r="AQ18" i="3"/>
  <c r="U18" i="3"/>
  <c r="AD18" i="3"/>
  <c r="H13" i="7"/>
  <c r="O5" i="7"/>
  <c r="O11" i="7" s="1"/>
  <c r="H78" i="3"/>
  <c r="H46" i="3"/>
  <c r="H58" i="3"/>
  <c r="K5" i="3"/>
  <c r="AE9" i="7" l="1"/>
  <c r="I58" i="3"/>
  <c r="AE18" i="3"/>
  <c r="AG18" i="3"/>
  <c r="AK18" i="3"/>
  <c r="AB18" i="3"/>
  <c r="AJ18" i="3"/>
  <c r="AC18" i="3"/>
  <c r="AI18" i="3"/>
  <c r="AR18" i="3"/>
  <c r="AP18" i="3"/>
  <c r="AN18" i="3"/>
  <c r="AO18" i="3"/>
  <c r="I46" i="3"/>
  <c r="I78" i="3"/>
  <c r="I13" i="7"/>
  <c r="P5" i="7"/>
  <c r="P11" i="7" s="1"/>
  <c r="L5" i="3"/>
  <c r="M5" i="3" s="1"/>
  <c r="N5" i="3" s="1"/>
  <c r="O5" i="3" s="1"/>
  <c r="P5" i="3" s="1"/>
  <c r="Q5" i="3" s="1"/>
  <c r="R5" i="3" s="1"/>
  <c r="S5" i="3" s="1"/>
  <c r="T5" i="3" s="1"/>
  <c r="U5" i="3" s="1"/>
  <c r="V5" i="3" s="1"/>
  <c r="W5" i="3" s="1"/>
  <c r="X5" i="3" s="1"/>
  <c r="Y5" i="3" s="1"/>
  <c r="Z5" i="3" s="1"/>
  <c r="AA5" i="3" s="1"/>
  <c r="AB5" i="3" s="1"/>
  <c r="AC5" i="3" s="1"/>
  <c r="AD5" i="3" s="1"/>
  <c r="AF9" i="7" l="1"/>
  <c r="J78" i="3"/>
  <c r="AD91" i="3"/>
  <c r="AD47" i="3"/>
  <c r="AD80" i="3"/>
  <c r="AD95" i="3"/>
  <c r="AD59" i="3"/>
  <c r="AD26" i="3"/>
  <c r="AD99" i="3"/>
  <c r="AD70" i="3"/>
  <c r="AD22" i="3"/>
  <c r="AD19" i="3"/>
  <c r="J13" i="7"/>
  <c r="Q5" i="7"/>
  <c r="Q11" i="7" s="1"/>
  <c r="AD23" i="3"/>
  <c r="AD55" i="3"/>
  <c r="AD43" i="3"/>
  <c r="AE5" i="3"/>
  <c r="AG9" i="7" l="1"/>
  <c r="K78" i="3"/>
  <c r="AD75" i="7"/>
  <c r="AD25" i="3"/>
  <c r="AD24" i="3"/>
  <c r="AE80" i="3"/>
  <c r="AE26" i="3"/>
  <c r="AE91" i="3"/>
  <c r="AE47" i="3"/>
  <c r="AE19" i="3"/>
  <c r="AE70" i="3"/>
  <c r="AE95" i="3"/>
  <c r="AE59" i="3"/>
  <c r="AE99" i="3"/>
  <c r="AE22" i="3"/>
  <c r="K13" i="7"/>
  <c r="R5" i="7"/>
  <c r="R11" i="7" s="1"/>
  <c r="AE23" i="3"/>
  <c r="AD78" i="3"/>
  <c r="AE55" i="3"/>
  <c r="AD46" i="3"/>
  <c r="AD58" i="3"/>
  <c r="AE43" i="3"/>
  <c r="AF5" i="3"/>
  <c r="AH9" i="7" l="1"/>
  <c r="L78" i="3"/>
  <c r="AE75" i="7"/>
  <c r="AE25" i="3"/>
  <c r="AE24" i="3"/>
  <c r="L58" i="3"/>
  <c r="AF99" i="3"/>
  <c r="AF70" i="3"/>
  <c r="AF22" i="3"/>
  <c r="AF19" i="3"/>
  <c r="AF80" i="3"/>
  <c r="AF26" i="3"/>
  <c r="AF59" i="3"/>
  <c r="AF91" i="3"/>
  <c r="AF47" i="3"/>
  <c r="AF95" i="3"/>
  <c r="L46" i="3"/>
  <c r="L13" i="7"/>
  <c r="S5" i="7"/>
  <c r="S11" i="7" s="1"/>
  <c r="AF23" i="3"/>
  <c r="AE78" i="3"/>
  <c r="AF55" i="3"/>
  <c r="AE46" i="3"/>
  <c r="AE58" i="3"/>
  <c r="AF43" i="3"/>
  <c r="AG5" i="3"/>
  <c r="AI9" i="7" l="1"/>
  <c r="M78" i="3"/>
  <c r="AF75" i="7"/>
  <c r="AF25" i="3"/>
  <c r="AF24" i="3"/>
  <c r="AG95" i="3"/>
  <c r="AG59" i="3"/>
  <c r="AG47" i="3"/>
  <c r="AG99" i="3"/>
  <c r="AG70" i="3"/>
  <c r="AG22" i="3"/>
  <c r="AG80" i="3"/>
  <c r="AG26" i="3"/>
  <c r="AG91" i="3"/>
  <c r="AG19" i="3"/>
  <c r="M13" i="7"/>
  <c r="T5" i="7"/>
  <c r="T11" i="7" s="1"/>
  <c r="AG23" i="3"/>
  <c r="AF78" i="3"/>
  <c r="AF46" i="3"/>
  <c r="AF58" i="3"/>
  <c r="AG55" i="3"/>
  <c r="AG43" i="3"/>
  <c r="AH5" i="3"/>
  <c r="AJ9" i="7" l="1"/>
  <c r="N78" i="3"/>
  <c r="AG75" i="7"/>
  <c r="AG25" i="3"/>
  <c r="AG24" i="3"/>
  <c r="AH91" i="3"/>
  <c r="AH47" i="3"/>
  <c r="AH95" i="3"/>
  <c r="AH59" i="3"/>
  <c r="AH80" i="3"/>
  <c r="AH99" i="3"/>
  <c r="AH70" i="3"/>
  <c r="AH22" i="3"/>
  <c r="AH19" i="3"/>
  <c r="AH26" i="3"/>
  <c r="N58" i="3"/>
  <c r="N46" i="3"/>
  <c r="N13" i="7"/>
  <c r="U5" i="7"/>
  <c r="U11" i="7" s="1"/>
  <c r="AH23" i="3"/>
  <c r="AG78" i="3"/>
  <c r="AG46" i="3"/>
  <c r="AG58" i="3"/>
  <c r="AH55" i="3"/>
  <c r="AH43" i="3"/>
  <c r="AI5" i="3"/>
  <c r="G88" i="1"/>
  <c r="J88" i="1" s="1"/>
  <c r="AK9" i="7" l="1"/>
  <c r="O46" i="3"/>
  <c r="AH75" i="7"/>
  <c r="AH25" i="3"/>
  <c r="AH24" i="3"/>
  <c r="AI80" i="3"/>
  <c r="AI26" i="3"/>
  <c r="AI19" i="3"/>
  <c r="AI22" i="3"/>
  <c r="AI91" i="3"/>
  <c r="AI47" i="3"/>
  <c r="AI95" i="3"/>
  <c r="AI59" i="3"/>
  <c r="AI99" i="3"/>
  <c r="AI70" i="3"/>
  <c r="O58" i="3"/>
  <c r="O78" i="3"/>
  <c r="O13" i="7"/>
  <c r="V5" i="7"/>
  <c r="V11" i="7" s="1"/>
  <c r="AI23" i="3"/>
  <c r="AH78" i="3"/>
  <c r="AI55" i="3"/>
  <c r="AH46" i="3"/>
  <c r="AH58" i="3"/>
  <c r="AI43" i="3"/>
  <c r="AJ5" i="3"/>
  <c r="M18" i="3"/>
  <c r="G169" i="1"/>
  <c r="K18" i="3" s="1"/>
  <c r="G21" i="1"/>
  <c r="J21" i="1" s="1"/>
  <c r="G159" i="1"/>
  <c r="J159" i="1" s="1"/>
  <c r="AL9" i="7" l="1"/>
  <c r="P78" i="3"/>
  <c r="AI75" i="7"/>
  <c r="AI25" i="3"/>
  <c r="AI24" i="3"/>
  <c r="AJ99" i="3"/>
  <c r="AJ70" i="3"/>
  <c r="AJ22" i="3"/>
  <c r="AJ19" i="3"/>
  <c r="AJ59" i="3"/>
  <c r="AJ80" i="3"/>
  <c r="AJ26" i="3"/>
  <c r="AJ95" i="3"/>
  <c r="AJ91" i="3"/>
  <c r="AJ47" i="3"/>
  <c r="P58" i="3"/>
  <c r="P46" i="3"/>
  <c r="P13" i="7"/>
  <c r="W5" i="7"/>
  <c r="W11" i="7" s="1"/>
  <c r="AJ23" i="3"/>
  <c r="M46" i="3"/>
  <c r="M58" i="3"/>
  <c r="J46" i="3"/>
  <c r="J58" i="3"/>
  <c r="K58" i="3"/>
  <c r="K46" i="3"/>
  <c r="AI78" i="3"/>
  <c r="AJ55" i="3"/>
  <c r="AI46" i="3"/>
  <c r="AI58" i="3"/>
  <c r="AJ43" i="3"/>
  <c r="AK5" i="3"/>
  <c r="E73" i="2"/>
  <c r="AM9" i="7" l="1"/>
  <c r="Q46" i="3"/>
  <c r="AJ75" i="7"/>
  <c r="AJ25" i="3"/>
  <c r="AJ24" i="3"/>
  <c r="AK95" i="3"/>
  <c r="AK59" i="3"/>
  <c r="AK22" i="3"/>
  <c r="AK91" i="3"/>
  <c r="AK99" i="3"/>
  <c r="AK70" i="3"/>
  <c r="AK19" i="3"/>
  <c r="AK80" i="3"/>
  <c r="AK26" i="3"/>
  <c r="AK47" i="3"/>
  <c r="Q58" i="3"/>
  <c r="Q78" i="3"/>
  <c r="Q13" i="7"/>
  <c r="X5" i="7"/>
  <c r="X11" i="7" s="1"/>
  <c r="AK23" i="3"/>
  <c r="AJ78" i="3"/>
  <c r="AK55" i="3"/>
  <c r="AJ46" i="3"/>
  <c r="AJ58" i="3"/>
  <c r="AK43" i="3"/>
  <c r="AL5" i="3"/>
  <c r="AN9" i="7" l="1"/>
  <c r="R78" i="3"/>
  <c r="AK75" i="7"/>
  <c r="AK25" i="3"/>
  <c r="AK24" i="3"/>
  <c r="AL91" i="3"/>
  <c r="AL47" i="3"/>
  <c r="AL26" i="3"/>
  <c r="AL95" i="3"/>
  <c r="AL59" i="3"/>
  <c r="AL99" i="3"/>
  <c r="AL70" i="3"/>
  <c r="AL22" i="3"/>
  <c r="AL19" i="3"/>
  <c r="AL80" i="3"/>
  <c r="R58" i="3"/>
  <c r="R46" i="3"/>
  <c r="R13" i="7"/>
  <c r="Y5" i="7"/>
  <c r="Y11" i="7" s="1"/>
  <c r="AL23" i="3"/>
  <c r="AK78" i="3"/>
  <c r="AL55" i="3"/>
  <c r="AK46" i="3"/>
  <c r="AK58" i="3"/>
  <c r="AL43" i="3"/>
  <c r="AM5" i="3"/>
  <c r="I122" i="2"/>
  <c r="J32" i="1"/>
  <c r="J33" i="1"/>
  <c r="J34" i="1"/>
  <c r="J35" i="1"/>
  <c r="J37" i="1"/>
  <c r="J38" i="1"/>
  <c r="J39" i="1"/>
  <c r="J40" i="1"/>
  <c r="J41" i="1"/>
  <c r="J42" i="1"/>
  <c r="J43" i="1"/>
  <c r="J44" i="1"/>
  <c r="J52" i="1"/>
  <c r="J53" i="1"/>
  <c r="J54" i="1"/>
  <c r="J55" i="1"/>
  <c r="J56" i="1"/>
  <c r="J57" i="1"/>
  <c r="J58" i="1"/>
  <c r="J59" i="1"/>
  <c r="J60" i="1"/>
  <c r="J61" i="1"/>
  <c r="J65" i="1"/>
  <c r="J69" i="1"/>
  <c r="J73" i="1"/>
  <c r="J74" i="1"/>
  <c r="J75" i="1"/>
  <c r="J76" i="1"/>
  <c r="J77" i="1"/>
  <c r="J78" i="1"/>
  <c r="J79" i="1"/>
  <c r="J80" i="1"/>
  <c r="J84" i="1"/>
  <c r="J96" i="1"/>
  <c r="J97" i="1"/>
  <c r="J98" i="1"/>
  <c r="J99" i="1"/>
  <c r="J100" i="1"/>
  <c r="J102" i="1"/>
  <c r="J103" i="1"/>
  <c r="J104" i="1"/>
  <c r="J105" i="1"/>
  <c r="J106" i="1"/>
  <c r="J107" i="1"/>
  <c r="J109" i="1"/>
  <c r="J111" i="1"/>
  <c r="J113" i="1"/>
  <c r="J114" i="1"/>
  <c r="J115" i="1"/>
  <c r="J116" i="1"/>
  <c r="J117" i="1"/>
  <c r="J118" i="1"/>
  <c r="J119" i="1"/>
  <c r="J120" i="1"/>
  <c r="J121" i="1"/>
  <c r="J122" i="1"/>
  <c r="J123" i="1"/>
  <c r="J131" i="1"/>
  <c r="J137" i="1"/>
  <c r="J138" i="1"/>
  <c r="J139" i="1"/>
  <c r="J140" i="1"/>
  <c r="J141" i="1"/>
  <c r="J11" i="1"/>
  <c r="J30" i="1"/>
  <c r="G12" i="1"/>
  <c r="J12" i="1" s="1"/>
  <c r="D8" i="3"/>
  <c r="D9" i="2"/>
  <c r="E13" i="2"/>
  <c r="G70" i="1"/>
  <c r="J70" i="1" s="1"/>
  <c r="AO9" i="7" l="1"/>
  <c r="S46" i="3"/>
  <c r="AL75" i="7"/>
  <c r="AL25" i="3"/>
  <c r="AL24" i="3"/>
  <c r="AM80" i="3"/>
  <c r="AM26" i="3"/>
  <c r="AM70" i="3"/>
  <c r="AM91" i="3"/>
  <c r="AM47" i="3"/>
  <c r="AM19" i="3"/>
  <c r="AM22" i="3"/>
  <c r="AM95" i="3"/>
  <c r="AM59" i="3"/>
  <c r="AM99" i="3"/>
  <c r="S78" i="3"/>
  <c r="S58" i="3"/>
  <c r="S13" i="7"/>
  <c r="Z5" i="7"/>
  <c r="Z11" i="7" s="1"/>
  <c r="AM23" i="3"/>
  <c r="AL78" i="3"/>
  <c r="AL46" i="3"/>
  <c r="AL58" i="3"/>
  <c r="AM55" i="3"/>
  <c r="AM43" i="3"/>
  <c r="AN5" i="3"/>
  <c r="G90" i="1"/>
  <c r="J90" i="1" s="1"/>
  <c r="G107" i="1"/>
  <c r="G113" i="1"/>
  <c r="G111" i="1"/>
  <c r="G110" i="1"/>
  <c r="J110" i="1" s="1"/>
  <c r="G71" i="1"/>
  <c r="J71" i="1" s="1"/>
  <c r="G114" i="1"/>
  <c r="G91" i="1"/>
  <c r="J91" i="1" s="1"/>
  <c r="G20" i="1"/>
  <c r="J20" i="1" s="1"/>
  <c r="G15" i="1"/>
  <c r="J15" i="1" s="1"/>
  <c r="G139" i="1"/>
  <c r="G128" i="1"/>
  <c r="J128" i="1" s="1"/>
  <c r="G119" i="1"/>
  <c r="G96" i="1"/>
  <c r="G74" i="1"/>
  <c r="G57" i="1"/>
  <c r="G123" i="1"/>
  <c r="G122" i="1"/>
  <c r="G121" i="1"/>
  <c r="G120" i="1"/>
  <c r="G118" i="1"/>
  <c r="G117" i="1"/>
  <c r="G116" i="1"/>
  <c r="G115" i="1"/>
  <c r="G100" i="1"/>
  <c r="G99" i="1"/>
  <c r="G98" i="1"/>
  <c r="G97" i="1"/>
  <c r="G95" i="1"/>
  <c r="J95" i="1" s="1"/>
  <c r="G94" i="1"/>
  <c r="J94" i="1" s="1"/>
  <c r="G93" i="1"/>
  <c r="J93" i="1" s="1"/>
  <c r="G92" i="1"/>
  <c r="J92" i="1" s="1"/>
  <c r="G106" i="1"/>
  <c r="G105" i="1"/>
  <c r="G104" i="1"/>
  <c r="G103" i="1"/>
  <c r="G102" i="1"/>
  <c r="G86" i="1"/>
  <c r="J86" i="1" s="1"/>
  <c r="G85" i="1"/>
  <c r="J85" i="1" s="1"/>
  <c r="G84" i="1"/>
  <c r="G83" i="1"/>
  <c r="J83" i="1" s="1"/>
  <c r="G82" i="1"/>
  <c r="J82" i="1" s="1"/>
  <c r="G64" i="1"/>
  <c r="J64" i="1" s="1"/>
  <c r="G33" i="1"/>
  <c r="G10" i="1"/>
  <c r="J10" i="1" s="1"/>
  <c r="G29" i="1"/>
  <c r="J29" i="1" s="1"/>
  <c r="G30" i="1"/>
  <c r="G32" i="1"/>
  <c r="G34" i="1"/>
  <c r="G35" i="1"/>
  <c r="G36" i="1"/>
  <c r="J36" i="1" s="1"/>
  <c r="G37" i="1"/>
  <c r="G38" i="1"/>
  <c r="G39" i="1"/>
  <c r="G40" i="1"/>
  <c r="G41" i="1"/>
  <c r="G42" i="1"/>
  <c r="G43" i="1"/>
  <c r="G45" i="1"/>
  <c r="J45" i="1" s="1"/>
  <c r="G46" i="1"/>
  <c r="J46" i="1" s="1"/>
  <c r="G48" i="1"/>
  <c r="J48" i="1" s="1"/>
  <c r="G49" i="1"/>
  <c r="J49" i="1" s="1"/>
  <c r="G50" i="1"/>
  <c r="J50" i="1" s="1"/>
  <c r="G51" i="1"/>
  <c r="J51" i="1" s="1"/>
  <c r="G52" i="1"/>
  <c r="G53" i="1"/>
  <c r="G54" i="1"/>
  <c r="G55" i="1"/>
  <c r="G56" i="1"/>
  <c r="G58" i="1"/>
  <c r="G59" i="1"/>
  <c r="G60" i="1"/>
  <c r="G61" i="1"/>
  <c r="G63" i="1"/>
  <c r="J63" i="1" s="1"/>
  <c r="G65" i="1"/>
  <c r="G66" i="1"/>
  <c r="J66" i="1" s="1"/>
  <c r="G67" i="1"/>
  <c r="J67" i="1" s="1"/>
  <c r="G68" i="1"/>
  <c r="G69" i="1"/>
  <c r="G72" i="1"/>
  <c r="J72" i="1" s="1"/>
  <c r="G73" i="1"/>
  <c r="G75" i="1"/>
  <c r="G76" i="1"/>
  <c r="G77" i="1"/>
  <c r="G78" i="1"/>
  <c r="G79" i="1"/>
  <c r="G80" i="1"/>
  <c r="G87" i="1"/>
  <c r="J87" i="1" s="1"/>
  <c r="G89" i="1"/>
  <c r="J89" i="1" s="1"/>
  <c r="G109" i="1"/>
  <c r="G125" i="1"/>
  <c r="J125" i="1" s="1"/>
  <c r="G126" i="1"/>
  <c r="J126" i="1" s="1"/>
  <c r="G127" i="1"/>
  <c r="J127" i="1" s="1"/>
  <c r="G130" i="1"/>
  <c r="J130" i="1" s="1"/>
  <c r="G131" i="1"/>
  <c r="G133" i="1"/>
  <c r="J133" i="1" s="1"/>
  <c r="G134" i="1"/>
  <c r="J134" i="1" s="1"/>
  <c r="G135" i="1"/>
  <c r="J135" i="1" s="1"/>
  <c r="G136" i="1"/>
  <c r="J136" i="1" s="1"/>
  <c r="G137" i="1"/>
  <c r="G138" i="1"/>
  <c r="G140" i="1"/>
  <c r="G141" i="1"/>
  <c r="G143" i="1"/>
  <c r="J143" i="1" s="1"/>
  <c r="G144" i="1"/>
  <c r="J144" i="1" s="1"/>
  <c r="G145" i="1"/>
  <c r="J145" i="1" s="1"/>
  <c r="G146" i="1"/>
  <c r="J146" i="1" s="1"/>
  <c r="D114" i="2"/>
  <c r="D116" i="2" s="1"/>
  <c r="I66" i="2"/>
  <c r="G11" i="1"/>
  <c r="G13" i="1"/>
  <c r="J13" i="1" s="1"/>
  <c r="G14" i="1"/>
  <c r="J14" i="1" s="1"/>
  <c r="G16" i="1"/>
  <c r="G17" i="1"/>
  <c r="J17" i="1" s="1"/>
  <c r="G18" i="1"/>
  <c r="J18" i="1" s="1"/>
  <c r="G19" i="1"/>
  <c r="J19" i="1" s="1"/>
  <c r="G22" i="1"/>
  <c r="J22" i="1" s="1"/>
  <c r="G23" i="1"/>
  <c r="J23" i="1" s="1"/>
  <c r="G24" i="1"/>
  <c r="J24" i="1" s="1"/>
  <c r="G25" i="1"/>
  <c r="J25" i="1" s="1"/>
  <c r="G26" i="1"/>
  <c r="J26" i="1" s="1"/>
  <c r="G27" i="1"/>
  <c r="J27" i="1" s="1"/>
  <c r="G28" i="1"/>
  <c r="J28" i="1" s="1"/>
  <c r="J68" i="1" l="1"/>
  <c r="AP9" i="7"/>
  <c r="AM75" i="7"/>
  <c r="AM25" i="3"/>
  <c r="AM24" i="3"/>
  <c r="AN99" i="3"/>
  <c r="AN70" i="3"/>
  <c r="AN22" i="3"/>
  <c r="AN19" i="3"/>
  <c r="AN80" i="3"/>
  <c r="AN26" i="3"/>
  <c r="AN91" i="3"/>
  <c r="AN47" i="3"/>
  <c r="AN95" i="3"/>
  <c r="AN59" i="3"/>
  <c r="E72" i="7"/>
  <c r="F72" i="7" s="1"/>
  <c r="G72" i="7" s="1"/>
  <c r="H72" i="7" s="1"/>
  <c r="I72" i="7" s="1"/>
  <c r="J72" i="7" s="1"/>
  <c r="K72" i="7" s="1"/>
  <c r="L72" i="7" s="1"/>
  <c r="M72" i="7" s="1"/>
  <c r="N72" i="7" s="1"/>
  <c r="O72" i="7" s="1"/>
  <c r="P72" i="7" s="1"/>
  <c r="Q72" i="7" s="1"/>
  <c r="R72" i="7" s="1"/>
  <c r="S72" i="7" s="1"/>
  <c r="T72" i="7" s="1"/>
  <c r="U72" i="7" s="1"/>
  <c r="V72" i="7" s="1"/>
  <c r="W72" i="7" s="1"/>
  <c r="X72" i="7" s="1"/>
  <c r="Y72" i="7" s="1"/>
  <c r="Z72" i="7" s="1"/>
  <c r="AA72" i="7" s="1"/>
  <c r="J16" i="1"/>
  <c r="T46" i="3"/>
  <c r="T78" i="3"/>
  <c r="T13" i="7"/>
  <c r="AA5" i="7"/>
  <c r="AA11" i="7" s="1"/>
  <c r="AN23" i="3"/>
  <c r="AM78" i="3"/>
  <c r="AN55" i="3"/>
  <c r="AM46" i="3"/>
  <c r="AM58" i="3"/>
  <c r="AN43" i="3"/>
  <c r="AO5" i="3"/>
  <c r="E9" i="2"/>
  <c r="AQ9" i="7" l="1"/>
  <c r="U78" i="3"/>
  <c r="AN75" i="7"/>
  <c r="AN25" i="3"/>
  <c r="AN24" i="3"/>
  <c r="AO95" i="3"/>
  <c r="AO59" i="3"/>
  <c r="AO47" i="3"/>
  <c r="AO19" i="3"/>
  <c r="AO99" i="3"/>
  <c r="AO70" i="3"/>
  <c r="AO22" i="3"/>
  <c r="AO80" i="3"/>
  <c r="AO26" i="3"/>
  <c r="AO91" i="3"/>
  <c r="U58" i="3"/>
  <c r="U46" i="3"/>
  <c r="U13" i="7"/>
  <c r="AB5" i="7"/>
  <c r="AO23" i="3"/>
  <c r="AN78" i="3"/>
  <c r="AO43" i="3"/>
  <c r="AO55" i="3"/>
  <c r="AN46" i="3"/>
  <c r="AN58" i="3"/>
  <c r="AP5" i="3"/>
  <c r="E11" i="2"/>
  <c r="AB72" i="7" l="1"/>
  <c r="AB11" i="7"/>
  <c r="AR9" i="7"/>
  <c r="V78" i="3"/>
  <c r="AO75" i="7"/>
  <c r="AO25" i="3"/>
  <c r="AO24" i="3"/>
  <c r="AP91" i="3"/>
  <c r="AP47" i="3"/>
  <c r="AP80" i="3"/>
  <c r="AP95" i="3"/>
  <c r="AP59" i="3"/>
  <c r="AP26" i="3"/>
  <c r="AP99" i="3"/>
  <c r="AP70" i="3"/>
  <c r="AP22" i="3"/>
  <c r="AP19" i="3"/>
  <c r="V58" i="3"/>
  <c r="V46" i="3"/>
  <c r="V13" i="7"/>
  <c r="AC5" i="7"/>
  <c r="AP23" i="3"/>
  <c r="AO78" i="3"/>
  <c r="AO46" i="3"/>
  <c r="AO48" i="3" s="1"/>
  <c r="AO58" i="3"/>
  <c r="AP43" i="3"/>
  <c r="AP55" i="3"/>
  <c r="AQ5" i="3"/>
  <c r="D11" i="2"/>
  <c r="G9" i="1"/>
  <c r="G151" i="1" s="1"/>
  <c r="AC72" i="7" l="1"/>
  <c r="AC11" i="7"/>
  <c r="D122" i="2"/>
  <c r="W46" i="3"/>
  <c r="AP75" i="7"/>
  <c r="AP25" i="3"/>
  <c r="AP24" i="3"/>
  <c r="W78" i="3"/>
  <c r="AQ80" i="3"/>
  <c r="AQ26" i="3"/>
  <c r="AQ19" i="3"/>
  <c r="AQ99" i="3"/>
  <c r="AQ91" i="3"/>
  <c r="AQ47" i="3"/>
  <c r="AQ95" i="3"/>
  <c r="AQ59" i="3"/>
  <c r="AQ70" i="3"/>
  <c r="AQ22" i="3"/>
  <c r="W58" i="3"/>
  <c r="W13" i="7"/>
  <c r="AD5" i="7"/>
  <c r="AQ23" i="3"/>
  <c r="AP78" i="3"/>
  <c r="AP46" i="3"/>
  <c r="AP48" i="3" s="1"/>
  <c r="AP58" i="3"/>
  <c r="AQ43" i="3"/>
  <c r="AQ55" i="3"/>
  <c r="AR5" i="3"/>
  <c r="J9" i="1"/>
  <c r="J151" i="1" s="1"/>
  <c r="E52" i="2"/>
  <c r="E54" i="2" s="1"/>
  <c r="D13" i="2"/>
  <c r="D15" i="2" s="1"/>
  <c r="AD72" i="7" l="1"/>
  <c r="AD11" i="7"/>
  <c r="AD13" i="7" s="1"/>
  <c r="X78" i="3"/>
  <c r="AQ75" i="7"/>
  <c r="AR19" i="3"/>
  <c r="AQ25" i="3"/>
  <c r="AQ24" i="3"/>
  <c r="E8" i="3"/>
  <c r="E10" i="3" s="1"/>
  <c r="D121" i="2"/>
  <c r="AR23" i="3"/>
  <c r="AR99" i="3"/>
  <c r="AR70" i="3"/>
  <c r="AR22" i="3"/>
  <c r="AR95" i="3"/>
  <c r="AR80" i="3"/>
  <c r="AR26" i="3"/>
  <c r="AR59" i="3"/>
  <c r="AR91" i="3"/>
  <c r="AR47" i="3"/>
  <c r="X58" i="3"/>
  <c r="X46" i="3"/>
  <c r="AD53" i="7"/>
  <c r="AD39" i="7"/>
  <c r="AD52" i="7"/>
  <c r="X13" i="7"/>
  <c r="AD47" i="7"/>
  <c r="AE5" i="7"/>
  <c r="AD19" i="7"/>
  <c r="AQ78" i="3"/>
  <c r="AR55" i="3"/>
  <c r="AQ46" i="3"/>
  <c r="AQ48" i="3" s="1"/>
  <c r="AQ58" i="3"/>
  <c r="AR43" i="3"/>
  <c r="F121" i="2"/>
  <c r="E121" i="2"/>
  <c r="H121" i="2"/>
  <c r="G121" i="2"/>
  <c r="AE72" i="7" l="1"/>
  <c r="AE11" i="7"/>
  <c r="AE13" i="7" s="1"/>
  <c r="AD27" i="7"/>
  <c r="Y58" i="3"/>
  <c r="AR75" i="7"/>
  <c r="E35" i="3"/>
  <c r="AR25" i="3"/>
  <c r="AR24" i="3"/>
  <c r="Y46" i="3"/>
  <c r="Y78" i="3"/>
  <c r="AE52" i="7"/>
  <c r="AE53" i="7"/>
  <c r="AE39" i="7"/>
  <c r="Y13" i="7"/>
  <c r="AE47" i="7"/>
  <c r="AF5" i="7"/>
  <c r="AE19" i="7"/>
  <c r="AR78" i="3"/>
  <c r="AR46" i="3"/>
  <c r="AR48" i="3" s="1"/>
  <c r="AR58" i="3"/>
  <c r="E11" i="3"/>
  <c r="AF72" i="7" l="1"/>
  <c r="AF11" i="7"/>
  <c r="AF13" i="7" s="1"/>
  <c r="AE27" i="7"/>
  <c r="Z78" i="3"/>
  <c r="Z46" i="3"/>
  <c r="Z58" i="3"/>
  <c r="AF52" i="7"/>
  <c r="AF53" i="7"/>
  <c r="AF39" i="7"/>
  <c r="Z13" i="7"/>
  <c r="AF47" i="7"/>
  <c r="AG5" i="7"/>
  <c r="AF19" i="7"/>
  <c r="F9" i="3"/>
  <c r="AG72" i="7" l="1"/>
  <c r="AG11" i="7"/>
  <c r="AG13" i="7" s="1"/>
  <c r="AF27" i="7"/>
  <c r="AA46" i="3"/>
  <c r="AA78" i="3"/>
  <c r="AG39" i="7"/>
  <c r="AG52" i="7"/>
  <c r="AG53" i="7"/>
  <c r="AA58" i="3"/>
  <c r="AA13" i="7"/>
  <c r="AG47" i="7"/>
  <c r="AH5" i="7"/>
  <c r="AG19" i="7"/>
  <c r="F10" i="3"/>
  <c r="AH72" i="7" l="1"/>
  <c r="AH11" i="7"/>
  <c r="AH13" i="7" s="1"/>
  <c r="AG27" i="7"/>
  <c r="AB46" i="3"/>
  <c r="AB78" i="3"/>
  <c r="AH53" i="7"/>
  <c r="AH39" i="7"/>
  <c r="AH52" i="7"/>
  <c r="AB58" i="3"/>
  <c r="AB13" i="7"/>
  <c r="AH47" i="7"/>
  <c r="AH19" i="7"/>
  <c r="AI5" i="7"/>
  <c r="F35" i="3"/>
  <c r="G9" i="3"/>
  <c r="G10" i="3" s="1"/>
  <c r="F11" i="3"/>
  <c r="AI72" i="7" l="1"/>
  <c r="AI11" i="7"/>
  <c r="AI13" i="7" s="1"/>
  <c r="AH27" i="7"/>
  <c r="AC13" i="7"/>
  <c r="AC58" i="3"/>
  <c r="AC46" i="3"/>
  <c r="AC78" i="3"/>
  <c r="AI52" i="7"/>
  <c r="AI53" i="7"/>
  <c r="AI39" i="7"/>
  <c r="AI47" i="7"/>
  <c r="AJ5" i="7"/>
  <c r="AI19" i="7"/>
  <c r="G35" i="3"/>
  <c r="H9" i="3"/>
  <c r="H10" i="3" s="1"/>
  <c r="G11" i="3"/>
  <c r="AJ72" i="7" l="1"/>
  <c r="AJ11" i="7"/>
  <c r="AJ13" i="7" s="1"/>
  <c r="AI27" i="7"/>
  <c r="AJ53" i="7"/>
  <c r="AJ52" i="7"/>
  <c r="AJ39" i="7"/>
  <c r="AJ47" i="7"/>
  <c r="AK5" i="7"/>
  <c r="AJ19" i="7"/>
  <c r="H35" i="3"/>
  <c r="I9" i="3"/>
  <c r="I10" i="3" s="1"/>
  <c r="H11" i="3"/>
  <c r="AK72" i="7" l="1"/>
  <c r="AK11" i="7"/>
  <c r="AK13" i="7" s="1"/>
  <c r="AJ27" i="7"/>
  <c r="AK52" i="7"/>
  <c r="AK53" i="7"/>
  <c r="AK39" i="7"/>
  <c r="AK47" i="7"/>
  <c r="AL5" i="7"/>
  <c r="AK19" i="7"/>
  <c r="I35" i="3"/>
  <c r="J9" i="3"/>
  <c r="J10" i="3" s="1"/>
  <c r="I11" i="3"/>
  <c r="E85" i="2"/>
  <c r="H85" i="2" s="1"/>
  <c r="D22" i="2"/>
  <c r="I67" i="2"/>
  <c r="AL72" i="7" l="1"/>
  <c r="AL11" i="7"/>
  <c r="AL13" i="7" s="1"/>
  <c r="AK27" i="7"/>
  <c r="E86" i="2"/>
  <c r="K112" i="1"/>
  <c r="L112" i="1" s="1"/>
  <c r="K108" i="1"/>
  <c r="L108" i="1" s="1"/>
  <c r="E63" i="7"/>
  <c r="E64" i="7" s="1"/>
  <c r="E65" i="7" s="1"/>
  <c r="K147" i="1"/>
  <c r="L147" i="1" s="1"/>
  <c r="K148" i="1"/>
  <c r="L148" i="1" s="1"/>
  <c r="K149" i="1"/>
  <c r="L149" i="1" s="1"/>
  <c r="K162" i="1"/>
  <c r="L162" i="1" s="1"/>
  <c r="AL53" i="7"/>
  <c r="AL39" i="7"/>
  <c r="AL52" i="7"/>
  <c r="AL47" i="7"/>
  <c r="AM5" i="7"/>
  <c r="AL19" i="7"/>
  <c r="J35" i="3"/>
  <c r="D14" i="3"/>
  <c r="D35" i="3"/>
  <c r="D33" i="3"/>
  <c r="D30" i="3"/>
  <c r="D18" i="3"/>
  <c r="D29" i="3"/>
  <c r="K184" i="1"/>
  <c r="L184" i="1" s="1"/>
  <c r="K180" i="1"/>
  <c r="K176" i="1"/>
  <c r="L176" i="1" s="1"/>
  <c r="K172" i="1"/>
  <c r="L172" i="1" s="1"/>
  <c r="K185" i="1"/>
  <c r="L185" i="1" s="1"/>
  <c r="K181" i="1"/>
  <c r="L181" i="1" s="1"/>
  <c r="K177" i="1"/>
  <c r="L177" i="1" s="1"/>
  <c r="K173" i="1"/>
  <c r="L173" i="1" s="1"/>
  <c r="K169" i="1"/>
  <c r="L169" i="1" s="1"/>
  <c r="K168" i="1"/>
  <c r="L168" i="1" s="1"/>
  <c r="K187" i="1"/>
  <c r="L187" i="1" s="1"/>
  <c r="K183" i="1"/>
  <c r="L183" i="1" s="1"/>
  <c r="L180" i="1"/>
  <c r="K179" i="1"/>
  <c r="L179" i="1" s="1"/>
  <c r="K175" i="1"/>
  <c r="L175" i="1" s="1"/>
  <c r="K171" i="1"/>
  <c r="L171" i="1" s="1"/>
  <c r="K186" i="1"/>
  <c r="L186" i="1" s="1"/>
  <c r="K182" i="1"/>
  <c r="L182" i="1" s="1"/>
  <c r="K178" i="1"/>
  <c r="L178" i="1" s="1"/>
  <c r="K174" i="1"/>
  <c r="L174" i="1" s="1"/>
  <c r="K170" i="1"/>
  <c r="L170" i="1" s="1"/>
  <c r="K11" i="1"/>
  <c r="K15" i="1"/>
  <c r="K19" i="1"/>
  <c r="K23" i="1"/>
  <c r="K27" i="1"/>
  <c r="K35" i="1"/>
  <c r="K39" i="1"/>
  <c r="K43" i="1"/>
  <c r="K47" i="1"/>
  <c r="L47" i="1" s="1"/>
  <c r="K51" i="1"/>
  <c r="K55" i="1"/>
  <c r="K59" i="1"/>
  <c r="K63" i="1"/>
  <c r="K67" i="1"/>
  <c r="K71" i="1"/>
  <c r="K75" i="1"/>
  <c r="K79" i="1"/>
  <c r="K83" i="1"/>
  <c r="K87" i="1"/>
  <c r="K91" i="1"/>
  <c r="K95" i="1"/>
  <c r="K99" i="1"/>
  <c r="K103" i="1"/>
  <c r="K107" i="1"/>
  <c r="K113" i="1"/>
  <c r="K117" i="1"/>
  <c r="K121" i="1"/>
  <c r="K125" i="1"/>
  <c r="K130" i="1"/>
  <c r="K134" i="1"/>
  <c r="K138" i="1"/>
  <c r="K146" i="1"/>
  <c r="K9" i="1"/>
  <c r="L9" i="1" s="1"/>
  <c r="K86" i="1"/>
  <c r="K120" i="1"/>
  <c r="K133" i="1"/>
  <c r="K161" i="1"/>
  <c r="K12" i="1"/>
  <c r="K16" i="1"/>
  <c r="K20" i="1"/>
  <c r="K24" i="1"/>
  <c r="K28" i="1"/>
  <c r="K32" i="1"/>
  <c r="K36" i="1"/>
  <c r="K40" i="1"/>
  <c r="K44" i="1"/>
  <c r="K48" i="1"/>
  <c r="K52" i="1"/>
  <c r="K56" i="1"/>
  <c r="K60" i="1"/>
  <c r="K64" i="1"/>
  <c r="K68" i="1"/>
  <c r="K72" i="1"/>
  <c r="K76" i="1"/>
  <c r="K80" i="1"/>
  <c r="K84" i="1"/>
  <c r="K88" i="1"/>
  <c r="K92" i="1"/>
  <c r="K96" i="1"/>
  <c r="K100" i="1"/>
  <c r="K104" i="1"/>
  <c r="K109" i="1"/>
  <c r="K114" i="1"/>
  <c r="K118" i="1"/>
  <c r="K122" i="1"/>
  <c r="K126" i="1"/>
  <c r="K131" i="1"/>
  <c r="K135" i="1"/>
  <c r="K139" i="1"/>
  <c r="K143" i="1"/>
  <c r="K159" i="1"/>
  <c r="K14" i="1"/>
  <c r="K22" i="1"/>
  <c r="K30" i="1"/>
  <c r="K38" i="1"/>
  <c r="K46" i="1"/>
  <c r="K54" i="1"/>
  <c r="K70" i="1"/>
  <c r="K74" i="1"/>
  <c r="K82" i="1"/>
  <c r="K94" i="1"/>
  <c r="K102" i="1"/>
  <c r="K111" i="1"/>
  <c r="K128" i="1"/>
  <c r="K141" i="1"/>
  <c r="K145" i="1"/>
  <c r="K10" i="1"/>
  <c r="K13" i="1"/>
  <c r="K17" i="1"/>
  <c r="K21" i="1"/>
  <c r="K25" i="1"/>
  <c r="K29" i="1"/>
  <c r="K33" i="1"/>
  <c r="K37" i="1"/>
  <c r="K41" i="1"/>
  <c r="K45" i="1"/>
  <c r="K49" i="1"/>
  <c r="K53" i="1"/>
  <c r="K57" i="1"/>
  <c r="K61" i="1"/>
  <c r="K65" i="1"/>
  <c r="K69" i="1"/>
  <c r="K73" i="1"/>
  <c r="K77" i="1"/>
  <c r="K85" i="1"/>
  <c r="K89" i="1"/>
  <c r="K93" i="1"/>
  <c r="K97" i="1"/>
  <c r="K105" i="1"/>
  <c r="K110" i="1"/>
  <c r="K115" i="1"/>
  <c r="K119" i="1"/>
  <c r="K123" i="1"/>
  <c r="K127" i="1"/>
  <c r="K136" i="1"/>
  <c r="K140" i="1"/>
  <c r="K144" i="1"/>
  <c r="K160" i="1"/>
  <c r="K129" i="1"/>
  <c r="L129" i="1" s="1"/>
  <c r="K18" i="1"/>
  <c r="K26" i="1"/>
  <c r="K34" i="1"/>
  <c r="K42" i="1"/>
  <c r="K50" i="1"/>
  <c r="K58" i="1"/>
  <c r="K66" i="1"/>
  <c r="K78" i="1"/>
  <c r="K90" i="1"/>
  <c r="K98" i="1"/>
  <c r="K106" i="1"/>
  <c r="K116" i="1"/>
  <c r="K137" i="1"/>
  <c r="J11" i="3"/>
  <c r="K9" i="3"/>
  <c r="D19" i="3"/>
  <c r="D34" i="3"/>
  <c r="D16" i="3"/>
  <c r="D23" i="3"/>
  <c r="D15" i="3"/>
  <c r="D22" i="3"/>
  <c r="D24" i="3"/>
  <c r="AM72" i="7" l="1"/>
  <c r="AM11" i="7"/>
  <c r="AM13" i="7" s="1"/>
  <c r="H86" i="2"/>
  <c r="X26" i="3" s="1"/>
  <c r="L188" i="1"/>
  <c r="AL27" i="7"/>
  <c r="D82" i="3"/>
  <c r="D55" i="3"/>
  <c r="D53" i="3"/>
  <c r="D43" i="3"/>
  <c r="D41" i="3"/>
  <c r="D81" i="3" s="1"/>
  <c r="AM52" i="7"/>
  <c r="AM53" i="7"/>
  <c r="AM39" i="7"/>
  <c r="AM47" i="7"/>
  <c r="AN5" i="7"/>
  <c r="AM19" i="7"/>
  <c r="Z26" i="3"/>
  <c r="AC26" i="3"/>
  <c r="Y26" i="3"/>
  <c r="D65" i="3"/>
  <c r="D67" i="3"/>
  <c r="K10" i="3"/>
  <c r="AA26" i="3" l="1"/>
  <c r="AB26" i="3"/>
  <c r="O26" i="3"/>
  <c r="M26" i="3"/>
  <c r="M99" i="3" s="1"/>
  <c r="Q26" i="3"/>
  <c r="AN72" i="7"/>
  <c r="AN11" i="7"/>
  <c r="AN13" i="7" s="1"/>
  <c r="H26" i="3"/>
  <c r="H91" i="3" s="1"/>
  <c r="V26" i="3"/>
  <c r="R26" i="3"/>
  <c r="R70" i="3" s="1"/>
  <c r="N172" i="1"/>
  <c r="O172" i="1" s="1"/>
  <c r="N176" i="1"/>
  <c r="O176" i="1" s="1"/>
  <c r="N180" i="1"/>
  <c r="O180" i="1" s="1"/>
  <c r="N184" i="1"/>
  <c r="O184" i="1" s="1"/>
  <c r="N168" i="1"/>
  <c r="O168" i="1" s="1"/>
  <c r="N169" i="1"/>
  <c r="O169" i="1" s="1"/>
  <c r="N173" i="1"/>
  <c r="O173" i="1" s="1"/>
  <c r="N177" i="1"/>
  <c r="O177" i="1" s="1"/>
  <c r="N181" i="1"/>
  <c r="O181" i="1" s="1"/>
  <c r="N185" i="1"/>
  <c r="O185" i="1" s="1"/>
  <c r="N170" i="1"/>
  <c r="O170" i="1" s="1"/>
  <c r="N174" i="1"/>
  <c r="O174" i="1" s="1"/>
  <c r="N178" i="1"/>
  <c r="O178" i="1" s="1"/>
  <c r="N182" i="1"/>
  <c r="O182" i="1" s="1"/>
  <c r="N186" i="1"/>
  <c r="O186" i="1" s="1"/>
  <c r="F26" i="3"/>
  <c r="F70" i="3" s="1"/>
  <c r="N171" i="1"/>
  <c r="O171" i="1" s="1"/>
  <c r="N175" i="1"/>
  <c r="O175" i="1" s="1"/>
  <c r="N179" i="1"/>
  <c r="O179" i="1" s="1"/>
  <c r="N183" i="1"/>
  <c r="O183" i="1" s="1"/>
  <c r="N187" i="1"/>
  <c r="O187" i="1" s="1"/>
  <c r="E26" i="3"/>
  <c r="E91" i="3" s="1"/>
  <c r="I26" i="3"/>
  <c r="I91" i="3" s="1"/>
  <c r="P26" i="3"/>
  <c r="P99" i="3" s="1"/>
  <c r="N26" i="3"/>
  <c r="N99" i="3" s="1"/>
  <c r="S26" i="3"/>
  <c r="S80" i="3" s="1"/>
  <c r="W26" i="3"/>
  <c r="W80" i="3" s="1"/>
  <c r="K26" i="3"/>
  <c r="K80" i="3" s="1"/>
  <c r="U26" i="3"/>
  <c r="U47" i="3" s="1"/>
  <c r="U48" i="3" s="1"/>
  <c r="T26" i="3"/>
  <c r="T95" i="3" s="1"/>
  <c r="J26" i="3"/>
  <c r="J91" i="3" s="1"/>
  <c r="G26" i="3"/>
  <c r="G80" i="3" s="1"/>
  <c r="L26" i="3"/>
  <c r="L99" i="3" s="1"/>
  <c r="AM27" i="7"/>
  <c r="AN53" i="7"/>
  <c r="AN52" i="7"/>
  <c r="AN39" i="7"/>
  <c r="AN47" i="7"/>
  <c r="AO5" i="7"/>
  <c r="AN19" i="7"/>
  <c r="AB95" i="3"/>
  <c r="AB99" i="3"/>
  <c r="AB91" i="3"/>
  <c r="AB80" i="3"/>
  <c r="AB70" i="3"/>
  <c r="AB59" i="3"/>
  <c r="AB60" i="3" s="1"/>
  <c r="AB47" i="3"/>
  <c r="AC95" i="3"/>
  <c r="AC47" i="3"/>
  <c r="AC48" i="3" s="1"/>
  <c r="AC99" i="3"/>
  <c r="AC91" i="3"/>
  <c r="AC80" i="3"/>
  <c r="AC70" i="3"/>
  <c r="AC59" i="3"/>
  <c r="AC60" i="3" s="1"/>
  <c r="Z99" i="3"/>
  <c r="Z91" i="3"/>
  <c r="Z80" i="3"/>
  <c r="Z70" i="3"/>
  <c r="Z59" i="3"/>
  <c r="Z60" i="3" s="1"/>
  <c r="Z95" i="3"/>
  <c r="Z47" i="3"/>
  <c r="Z48" i="3" s="1"/>
  <c r="Y95" i="3"/>
  <c r="Y47" i="3"/>
  <c r="Y48" i="3" s="1"/>
  <c r="Y99" i="3"/>
  <c r="Y91" i="3"/>
  <c r="Y80" i="3"/>
  <c r="Y70" i="3"/>
  <c r="Y59" i="3"/>
  <c r="Y60" i="3" s="1"/>
  <c r="AA47" i="3"/>
  <c r="AA48" i="3" s="1"/>
  <c r="AA91" i="3"/>
  <c r="AA80" i="3"/>
  <c r="AA70" i="3"/>
  <c r="AA99" i="3"/>
  <c r="AA95" i="3"/>
  <c r="AA59" i="3"/>
  <c r="AA60" i="3" s="1"/>
  <c r="X95" i="3"/>
  <c r="X99" i="3"/>
  <c r="X91" i="3"/>
  <c r="X80" i="3"/>
  <c r="X70" i="3"/>
  <c r="X59" i="3"/>
  <c r="X60" i="3" s="1"/>
  <c r="X47" i="3"/>
  <c r="X48" i="3" s="1"/>
  <c r="O47" i="3"/>
  <c r="O48" i="3" s="1"/>
  <c r="O91" i="3"/>
  <c r="O80" i="3"/>
  <c r="O70" i="3"/>
  <c r="O59" i="3"/>
  <c r="O60" i="3" s="1"/>
  <c r="O99" i="3"/>
  <c r="O95" i="3"/>
  <c r="Q95" i="3"/>
  <c r="Q47" i="3"/>
  <c r="Q48" i="3" s="1"/>
  <c r="Q99" i="3"/>
  <c r="Q91" i="3"/>
  <c r="Q80" i="3"/>
  <c r="Q70" i="3"/>
  <c r="Q59" i="3"/>
  <c r="Q60" i="3" s="1"/>
  <c r="M95" i="3"/>
  <c r="V99" i="3"/>
  <c r="V91" i="3"/>
  <c r="V80" i="3"/>
  <c r="V70" i="3"/>
  <c r="V59" i="3"/>
  <c r="V60" i="3" s="1"/>
  <c r="V95" i="3"/>
  <c r="V47" i="3"/>
  <c r="V48" i="3" s="1"/>
  <c r="E98" i="2"/>
  <c r="K35" i="3"/>
  <c r="I7" i="9"/>
  <c r="K7" i="9"/>
  <c r="H7" i="9"/>
  <c r="G7" i="9"/>
  <c r="F7" i="9"/>
  <c r="AJ60" i="3"/>
  <c r="AJ48" i="3"/>
  <c r="AD48" i="3"/>
  <c r="AD60" i="3"/>
  <c r="AK60" i="3"/>
  <c r="AK48" i="3"/>
  <c r="AF60" i="3"/>
  <c r="AF48" i="3"/>
  <c r="AP60" i="3"/>
  <c r="AE60" i="3"/>
  <c r="AE48" i="3"/>
  <c r="AO60" i="3"/>
  <c r="AR60" i="3"/>
  <c r="AQ60" i="3"/>
  <c r="AL60" i="3"/>
  <c r="AL48" i="3"/>
  <c r="AM60" i="3"/>
  <c r="AM48" i="3"/>
  <c r="AG48" i="3"/>
  <c r="AG60" i="3"/>
  <c r="AN60" i="3"/>
  <c r="AN48" i="3"/>
  <c r="AI60" i="3"/>
  <c r="AI48" i="3"/>
  <c r="AH48" i="3"/>
  <c r="AH60" i="3"/>
  <c r="L7" i="9"/>
  <c r="J7" i="9"/>
  <c r="E7" i="9"/>
  <c r="K11" i="3"/>
  <c r="L9" i="3"/>
  <c r="L10" i="3" s="1"/>
  <c r="M70" i="3" l="1"/>
  <c r="M80" i="3"/>
  <c r="M47" i="3"/>
  <c r="H59" i="3"/>
  <c r="H60" i="3" s="1"/>
  <c r="M91" i="3"/>
  <c r="H70" i="3"/>
  <c r="E99" i="3"/>
  <c r="M59" i="3"/>
  <c r="M60" i="3" s="1"/>
  <c r="H80" i="3"/>
  <c r="H47" i="3"/>
  <c r="H61" i="3" s="1"/>
  <c r="F80" i="3"/>
  <c r="P70" i="3"/>
  <c r="P95" i="3"/>
  <c r="AO72" i="7"/>
  <c r="AO11" i="7"/>
  <c r="AO13" i="7" s="1"/>
  <c r="H99" i="3"/>
  <c r="K91" i="3"/>
  <c r="H95" i="3"/>
  <c r="G99" i="3"/>
  <c r="F47" i="3"/>
  <c r="F61" i="3" s="1"/>
  <c r="R80" i="3"/>
  <c r="N47" i="3"/>
  <c r="N48" i="3" s="1"/>
  <c r="U59" i="3"/>
  <c r="U60" i="3" s="1"/>
  <c r="N70" i="3"/>
  <c r="U70" i="3"/>
  <c r="N80" i="3"/>
  <c r="U95" i="3"/>
  <c r="G91" i="3"/>
  <c r="K99" i="3"/>
  <c r="R47" i="3"/>
  <c r="R48" i="3" s="1"/>
  <c r="F95" i="3"/>
  <c r="F91" i="3"/>
  <c r="P80" i="3"/>
  <c r="G59" i="3"/>
  <c r="G60" i="3" s="1"/>
  <c r="G47" i="3"/>
  <c r="G61" i="3" s="1"/>
  <c r="K59" i="3"/>
  <c r="K60" i="3" s="1"/>
  <c r="K47" i="3"/>
  <c r="K61" i="3" s="1"/>
  <c r="R95" i="3"/>
  <c r="R91" i="3"/>
  <c r="F59" i="3"/>
  <c r="F60" i="3" s="1"/>
  <c r="F99" i="3"/>
  <c r="P47" i="3"/>
  <c r="P48" i="3" s="1"/>
  <c r="P91" i="3"/>
  <c r="G70" i="3"/>
  <c r="K70" i="3"/>
  <c r="R59" i="3"/>
  <c r="R60" i="3" s="1"/>
  <c r="R99" i="3"/>
  <c r="P59" i="3"/>
  <c r="P60" i="3" s="1"/>
  <c r="G95" i="3"/>
  <c r="K95" i="3"/>
  <c r="S99" i="3"/>
  <c r="N95" i="3"/>
  <c r="N91" i="3"/>
  <c r="L95" i="3"/>
  <c r="U80" i="3"/>
  <c r="N59" i="3"/>
  <c r="N60" i="3" s="1"/>
  <c r="U91" i="3"/>
  <c r="S59" i="3"/>
  <c r="S60" i="3" s="1"/>
  <c r="S91" i="3"/>
  <c r="S47" i="3"/>
  <c r="S48" i="3" s="1"/>
  <c r="E47" i="3"/>
  <c r="E61" i="3" s="1"/>
  <c r="U99" i="3"/>
  <c r="S70" i="3"/>
  <c r="T80" i="3"/>
  <c r="E70" i="3"/>
  <c r="E95" i="3"/>
  <c r="S95" i="3"/>
  <c r="L70" i="3"/>
  <c r="J59" i="3"/>
  <c r="J60" i="3" s="1"/>
  <c r="W95" i="3"/>
  <c r="I59" i="3"/>
  <c r="I60" i="3" s="1"/>
  <c r="J99" i="3"/>
  <c r="W91" i="3"/>
  <c r="I99" i="3"/>
  <c r="J70" i="3"/>
  <c r="W99" i="3"/>
  <c r="W47" i="3"/>
  <c r="W48" i="3" s="1"/>
  <c r="I70" i="3"/>
  <c r="I47" i="3"/>
  <c r="I61" i="3" s="1"/>
  <c r="J47" i="3"/>
  <c r="J61" i="3" s="1"/>
  <c r="J80" i="3"/>
  <c r="W70" i="3"/>
  <c r="I80" i="3"/>
  <c r="I95" i="3"/>
  <c r="J95" i="3"/>
  <c r="W59" i="3"/>
  <c r="W60" i="3" s="1"/>
  <c r="O188" i="1"/>
  <c r="L80" i="3"/>
  <c r="T47" i="3"/>
  <c r="T48" i="3" s="1"/>
  <c r="T91" i="3"/>
  <c r="L47" i="3"/>
  <c r="L49" i="3" s="1"/>
  <c r="L91" i="3"/>
  <c r="T59" i="3"/>
  <c r="T99" i="3"/>
  <c r="L59" i="3"/>
  <c r="L60" i="3" s="1"/>
  <c r="T70" i="3"/>
  <c r="E80" i="3"/>
  <c r="E59" i="3"/>
  <c r="AN27" i="7"/>
  <c r="AO39" i="7"/>
  <c r="AO52" i="7"/>
  <c r="AO53" i="7"/>
  <c r="AO47" i="7"/>
  <c r="AP5" i="7"/>
  <c r="AO19" i="7"/>
  <c r="L35" i="3"/>
  <c r="K49" i="3"/>
  <c r="H48" i="3"/>
  <c r="H49" i="3"/>
  <c r="AB48" i="3"/>
  <c r="M48" i="3"/>
  <c r="M9" i="3"/>
  <c r="M10" i="3" s="1"/>
  <c r="L11" i="3"/>
  <c r="J48" i="3" l="1"/>
  <c r="AP72" i="7"/>
  <c r="AP11" i="7"/>
  <c r="F49" i="3"/>
  <c r="F48" i="3"/>
  <c r="G48" i="3"/>
  <c r="G49" i="3"/>
  <c r="K48" i="3"/>
  <c r="E49" i="3"/>
  <c r="I49" i="3"/>
  <c r="I48" i="3"/>
  <c r="J49" i="3"/>
  <c r="L48" i="3"/>
  <c r="L61" i="3"/>
  <c r="AO27" i="7"/>
  <c r="AP53" i="7"/>
  <c r="AP39" i="7"/>
  <c r="AP52" i="7"/>
  <c r="AP13" i="7"/>
  <c r="AP47" i="7"/>
  <c r="AQ5" i="7"/>
  <c r="AP19" i="7"/>
  <c r="M61" i="3"/>
  <c r="M35" i="3"/>
  <c r="M49" i="3"/>
  <c r="M11" i="3"/>
  <c r="N9" i="3"/>
  <c r="N10" i="3" s="1"/>
  <c r="AQ72" i="7" l="1"/>
  <c r="AQ11" i="7"/>
  <c r="AQ13" i="7" s="1"/>
  <c r="AP27" i="7"/>
  <c r="AQ52" i="7"/>
  <c r="AQ53" i="7"/>
  <c r="AQ39" i="7"/>
  <c r="AQ47" i="7"/>
  <c r="AR5" i="7"/>
  <c r="AQ19" i="7"/>
  <c r="N61" i="3"/>
  <c r="N35" i="3"/>
  <c r="N49" i="3"/>
  <c r="O9" i="3"/>
  <c r="O10" i="3" s="1"/>
  <c r="N11" i="3"/>
  <c r="AR72" i="7" l="1"/>
  <c r="AR11" i="7"/>
  <c r="AQ27" i="7"/>
  <c r="AR53" i="7"/>
  <c r="AR52" i="7"/>
  <c r="AR39" i="7"/>
  <c r="AR19" i="7"/>
  <c r="AR13" i="7"/>
  <c r="AR47" i="7"/>
  <c r="O61" i="3"/>
  <c r="O35" i="3"/>
  <c r="O49" i="3"/>
  <c r="P9" i="3"/>
  <c r="P10" i="3" s="1"/>
  <c r="O11" i="3"/>
  <c r="AR27" i="7" l="1"/>
  <c r="P61" i="3"/>
  <c r="P35" i="3"/>
  <c r="P49" i="3"/>
  <c r="Q9" i="3"/>
  <c r="Q10" i="3" s="1"/>
  <c r="P11" i="3"/>
  <c r="Q61" i="3" l="1"/>
  <c r="Q35" i="3"/>
  <c r="Q49" i="3"/>
  <c r="Q11" i="3"/>
  <c r="R9" i="3"/>
  <c r="R10" i="3" s="1"/>
  <c r="R61" i="3" l="1"/>
  <c r="R35" i="3"/>
  <c r="R49" i="3"/>
  <c r="S9" i="3"/>
  <c r="S10" i="3" s="1"/>
  <c r="R11" i="3"/>
  <c r="S61" i="3" l="1"/>
  <c r="S35" i="3"/>
  <c r="S49" i="3"/>
  <c r="T9" i="3"/>
  <c r="T10" i="3" s="1"/>
  <c r="S11" i="3"/>
  <c r="T61" i="3" l="1"/>
  <c r="T35" i="3"/>
  <c r="T49" i="3"/>
  <c r="T11" i="3"/>
  <c r="U9" i="3"/>
  <c r="U10" i="3" s="1"/>
  <c r="U61" i="3" l="1"/>
  <c r="U35" i="3"/>
  <c r="U49" i="3"/>
  <c r="U11" i="3"/>
  <c r="V9" i="3"/>
  <c r="V10" i="3" s="1"/>
  <c r="V61" i="3" l="1"/>
  <c r="V35" i="3"/>
  <c r="V49" i="3"/>
  <c r="W9" i="3"/>
  <c r="W10" i="3" s="1"/>
  <c r="V11" i="3"/>
  <c r="W61" i="3" l="1"/>
  <c r="W35" i="3"/>
  <c r="W49" i="3"/>
  <c r="W11" i="3"/>
  <c r="X9" i="3"/>
  <c r="X10" i="3" s="1"/>
  <c r="AD73" i="7" l="1"/>
  <c r="X61" i="3"/>
  <c r="X35" i="3"/>
  <c r="X49" i="3"/>
  <c r="Y9" i="3"/>
  <c r="Y10" i="3" s="1"/>
  <c r="X11" i="3"/>
  <c r="AE73" i="7" l="1"/>
  <c r="Y61" i="3"/>
  <c r="Y35" i="3"/>
  <c r="Y49" i="3"/>
  <c r="Z9" i="3"/>
  <c r="Z10" i="3" s="1"/>
  <c r="Y11" i="3"/>
  <c r="AF73" i="7" l="1"/>
  <c r="Z61" i="3"/>
  <c r="Z35" i="3"/>
  <c r="Z49" i="3"/>
  <c r="AA9" i="3"/>
  <c r="AA10" i="3" s="1"/>
  <c r="Z11" i="3"/>
  <c r="AG73" i="7" l="1"/>
  <c r="AA61" i="3"/>
  <c r="AA35" i="3"/>
  <c r="AA49" i="3"/>
  <c r="AA11" i="3"/>
  <c r="AB9" i="3"/>
  <c r="AB10" i="3" s="1"/>
  <c r="AH73" i="7" l="1"/>
  <c r="AB61" i="3"/>
  <c r="AB35" i="3"/>
  <c r="AB49" i="3"/>
  <c r="AC9" i="3"/>
  <c r="AC10" i="3" s="1"/>
  <c r="AB11" i="3"/>
  <c r="AI73" i="7" l="1"/>
  <c r="AC61" i="3"/>
  <c r="AC35" i="3"/>
  <c r="AC49" i="3"/>
  <c r="AD9" i="3"/>
  <c r="AD10" i="3" s="1"/>
  <c r="AC11" i="3"/>
  <c r="AD59" i="7" l="1"/>
  <c r="AD57" i="7" s="1"/>
  <c r="AJ73" i="7"/>
  <c r="AD53" i="3"/>
  <c r="AD41" i="3"/>
  <c r="AD8" i="7" s="1"/>
  <c r="AD12" i="7" s="1"/>
  <c r="AD61" i="3"/>
  <c r="AD35" i="3"/>
  <c r="AD49" i="3"/>
  <c r="AE9" i="3"/>
  <c r="AD11" i="3"/>
  <c r="AK73" i="7" l="1"/>
  <c r="AE10" i="3"/>
  <c r="AE59" i="7" l="1"/>
  <c r="AE57" i="7" s="1"/>
  <c r="AL73" i="7"/>
  <c r="AD14" i="7"/>
  <c r="AD26" i="7" s="1"/>
  <c r="AD28" i="7" s="1"/>
  <c r="AE53" i="3"/>
  <c r="AE41" i="3"/>
  <c r="AE8" i="7" s="1"/>
  <c r="AE12" i="7" s="1"/>
  <c r="AE49" i="3"/>
  <c r="AE61" i="3"/>
  <c r="AE35" i="3"/>
  <c r="AF9" i="3"/>
  <c r="AF10" i="3"/>
  <c r="AE11" i="3"/>
  <c r="AF59" i="7" l="1"/>
  <c r="AF57" i="7" s="1"/>
  <c r="AM73" i="7"/>
  <c r="AF53" i="3"/>
  <c r="AF41" i="3"/>
  <c r="AF8" i="7" s="1"/>
  <c r="AF12" i="7" s="1"/>
  <c r="AF49" i="3"/>
  <c r="AF61" i="3"/>
  <c r="AF35" i="3"/>
  <c r="AG9" i="3"/>
  <c r="AF11" i="3"/>
  <c r="AG10" i="3"/>
  <c r="L10" i="1"/>
  <c r="AG59" i="7" l="1"/>
  <c r="AG57" i="7" s="1"/>
  <c r="AN73" i="7"/>
  <c r="AE14" i="7"/>
  <c r="AE26" i="7" s="1"/>
  <c r="AE28" i="7" s="1"/>
  <c r="AG53" i="3"/>
  <c r="AG41" i="3"/>
  <c r="AG8" i="7" s="1"/>
  <c r="AG12" i="7" s="1"/>
  <c r="AG61" i="3"/>
  <c r="AG35" i="3"/>
  <c r="AG49" i="3"/>
  <c r="AG11" i="3"/>
  <c r="AH9" i="3"/>
  <c r="AO73" i="7" l="1"/>
  <c r="AF14" i="7"/>
  <c r="AF26" i="7" s="1"/>
  <c r="AF28" i="7" s="1"/>
  <c r="AH10" i="3"/>
  <c r="L12" i="1"/>
  <c r="AH59" i="7" l="1"/>
  <c r="AH57" i="7" s="1"/>
  <c r="AP73" i="7"/>
  <c r="AG14" i="7"/>
  <c r="AG26" i="7" s="1"/>
  <c r="AG28" i="7" s="1"/>
  <c r="AH53" i="3"/>
  <c r="AH41" i="3"/>
  <c r="AH8" i="7" s="1"/>
  <c r="AH12" i="7" s="1"/>
  <c r="AH61" i="3"/>
  <c r="AH35" i="3"/>
  <c r="AH49" i="3"/>
  <c r="AH11" i="3"/>
  <c r="AI9" i="3"/>
  <c r="AI10" i="3" s="1"/>
  <c r="L13" i="1"/>
  <c r="AI59" i="7" l="1"/>
  <c r="AI57" i="7" s="1"/>
  <c r="AQ73" i="7"/>
  <c r="AI53" i="3"/>
  <c r="AI41" i="3"/>
  <c r="AI8" i="7" s="1"/>
  <c r="AI12" i="7" s="1"/>
  <c r="AI61" i="3"/>
  <c r="AI35" i="3"/>
  <c r="AI49" i="3"/>
  <c r="AJ9" i="3"/>
  <c r="AI11" i="3"/>
  <c r="L14" i="1"/>
  <c r="L15" i="1"/>
  <c r="AR73" i="7" l="1"/>
  <c r="AH14" i="7"/>
  <c r="AH26" i="7" s="1"/>
  <c r="AH28" i="7" s="1"/>
  <c r="AJ10" i="3"/>
  <c r="L17" i="1"/>
  <c r="L16" i="1"/>
  <c r="AJ59" i="7" l="1"/>
  <c r="AJ57" i="7" s="1"/>
  <c r="AI14" i="7"/>
  <c r="AI26" i="7" s="1"/>
  <c r="AI28" i="7" s="1"/>
  <c r="AJ53" i="3"/>
  <c r="AJ41" i="3"/>
  <c r="AJ8" i="7" s="1"/>
  <c r="AJ12" i="7" s="1"/>
  <c r="AJ49" i="3"/>
  <c r="AJ61" i="3"/>
  <c r="AJ35" i="3"/>
  <c r="AK9" i="3"/>
  <c r="AJ11" i="3"/>
  <c r="AK10" i="3"/>
  <c r="L21" i="1"/>
  <c r="L18" i="1"/>
  <c r="L19" i="1"/>
  <c r="AK59" i="7" l="1"/>
  <c r="AK57" i="7" s="1"/>
  <c r="AK53" i="3"/>
  <c r="AK41" i="3"/>
  <c r="AK8" i="7" s="1"/>
  <c r="AK12" i="7" s="1"/>
  <c r="AK49" i="3"/>
  <c r="AK61" i="3"/>
  <c r="AK35" i="3"/>
  <c r="AL9" i="3"/>
  <c r="AL10" i="3" s="1"/>
  <c r="AK11" i="3"/>
  <c r="AM10" i="3"/>
  <c r="L20" i="1"/>
  <c r="L22" i="1"/>
  <c r="AM59" i="7" l="1"/>
  <c r="AM57" i="7" s="1"/>
  <c r="AL59" i="7"/>
  <c r="AL57" i="7" s="1"/>
  <c r="AJ14" i="7"/>
  <c r="AJ26" i="7" s="1"/>
  <c r="AJ28" i="7" s="1"/>
  <c r="AL41" i="3"/>
  <c r="AL8" i="7" s="1"/>
  <c r="AL12" i="7" s="1"/>
  <c r="AL53" i="3"/>
  <c r="AM53" i="3"/>
  <c r="AM41" i="3"/>
  <c r="AM8" i="7" s="1"/>
  <c r="AM12" i="7" s="1"/>
  <c r="AM61" i="3"/>
  <c r="AL49" i="3"/>
  <c r="AL61" i="3"/>
  <c r="AM35" i="3"/>
  <c r="AM49" i="3"/>
  <c r="AL11" i="3"/>
  <c r="AL35" i="3"/>
  <c r="AM9" i="3"/>
  <c r="AN9" i="3"/>
  <c r="AN10" i="3" s="1"/>
  <c r="L24" i="1"/>
  <c r="L25" i="1"/>
  <c r="L23" i="1"/>
  <c r="AN59" i="7" l="1"/>
  <c r="AN57" i="7" s="1"/>
  <c r="AK14" i="7"/>
  <c r="AK26" i="7" s="1"/>
  <c r="AK28" i="7" s="1"/>
  <c r="AN53" i="3"/>
  <c r="AN41" i="3"/>
  <c r="AN8" i="7" s="1"/>
  <c r="AN12" i="7" s="1"/>
  <c r="AN61" i="3"/>
  <c r="AM11" i="3"/>
  <c r="AN11" i="3" s="1"/>
  <c r="AN35" i="3"/>
  <c r="AN49" i="3"/>
  <c r="AO9" i="3"/>
  <c r="L26" i="1"/>
  <c r="AM14" i="7" l="1"/>
  <c r="AM26" i="7" s="1"/>
  <c r="AM28" i="7" s="1"/>
  <c r="AL14" i="7"/>
  <c r="AL26" i="7" s="1"/>
  <c r="AL28" i="7" s="1"/>
  <c r="AO10" i="3"/>
  <c r="L27" i="1"/>
  <c r="AO59" i="7" l="1"/>
  <c r="AO57" i="7" s="1"/>
  <c r="AN14" i="7"/>
  <c r="AN26" i="7" s="1"/>
  <c r="AN28" i="7" s="1"/>
  <c r="AO53" i="3"/>
  <c r="AO41" i="3"/>
  <c r="AO8" i="7" s="1"/>
  <c r="AO12" i="7" s="1"/>
  <c r="AO49" i="3"/>
  <c r="AO61" i="3"/>
  <c r="AO35" i="3"/>
  <c r="AO11" i="3"/>
  <c r="AP9" i="3"/>
  <c r="AP10" i="3" s="1"/>
  <c r="L28" i="1"/>
  <c r="AP59" i="7" l="1"/>
  <c r="AP57" i="7" s="1"/>
  <c r="AP53" i="3"/>
  <c r="AP41" i="3"/>
  <c r="AP8" i="7" s="1"/>
  <c r="AP12" i="7" s="1"/>
  <c r="AP49" i="3"/>
  <c r="AP61" i="3"/>
  <c r="AP35" i="3"/>
  <c r="AP11" i="3"/>
  <c r="AQ9" i="3"/>
  <c r="AQ10" i="3" s="1"/>
  <c r="L29" i="1"/>
  <c r="AQ59" i="7" l="1"/>
  <c r="AQ57" i="7" s="1"/>
  <c r="AO14" i="7"/>
  <c r="AO26" i="7" s="1"/>
  <c r="AO28" i="7" s="1"/>
  <c r="AQ53" i="3"/>
  <c r="AQ41" i="3"/>
  <c r="AQ8" i="7" s="1"/>
  <c r="AQ12" i="7" s="1"/>
  <c r="AQ61" i="3"/>
  <c r="AQ35" i="3"/>
  <c r="AQ49" i="3"/>
  <c r="AR9" i="3"/>
  <c r="AR10" i="3" s="1"/>
  <c r="AQ11" i="3"/>
  <c r="L30" i="1"/>
  <c r="AR59" i="7" l="1"/>
  <c r="AR57" i="7" s="1"/>
  <c r="AP14" i="7"/>
  <c r="AP26" i="7" s="1"/>
  <c r="AP28" i="7" s="1"/>
  <c r="AQ14" i="7"/>
  <c r="AQ26" i="7" s="1"/>
  <c r="AQ28" i="7" s="1"/>
  <c r="AR53" i="3"/>
  <c r="AR41" i="3"/>
  <c r="AR8" i="7" s="1"/>
  <c r="AR12" i="7" s="1"/>
  <c r="AR49" i="3"/>
  <c r="AR61" i="3"/>
  <c r="AR35" i="3"/>
  <c r="AR11" i="3"/>
  <c r="L32" i="1" l="1"/>
  <c r="AR14" i="7" l="1"/>
  <c r="AR26" i="7" s="1"/>
  <c r="AR28" i="7" s="1"/>
  <c r="L33" i="1"/>
  <c r="L35" i="1" l="1"/>
  <c r="L36" i="1" l="1"/>
  <c r="L37" i="1" l="1"/>
  <c r="L38" i="1" l="1"/>
  <c r="L39" i="1" l="1"/>
  <c r="L40" i="1" l="1"/>
  <c r="L41" i="1" l="1"/>
  <c r="L42" i="1" l="1"/>
  <c r="L43" i="1" l="1"/>
  <c r="L44" i="1" l="1"/>
  <c r="L45" i="1" l="1"/>
  <c r="L46" i="1" l="1"/>
  <c r="L48" i="1" l="1"/>
  <c r="L49" i="1" l="1"/>
  <c r="L50" i="1" l="1"/>
  <c r="L51" i="1" l="1"/>
  <c r="L52" i="1" l="1"/>
  <c r="L53" i="1" l="1"/>
  <c r="L54" i="1" l="1"/>
  <c r="L55" i="1" l="1"/>
  <c r="L56" i="1" l="1"/>
  <c r="L57" i="1" l="1"/>
  <c r="L58" i="1" l="1"/>
  <c r="L59" i="1" l="1"/>
  <c r="L60" i="1" l="1"/>
  <c r="L61" i="1" l="1"/>
  <c r="L63" i="1" l="1"/>
  <c r="L64" i="1" l="1"/>
  <c r="L66" i="1" l="1"/>
  <c r="L67" i="1" l="1"/>
  <c r="L68" i="1" l="1"/>
  <c r="L69" i="1" l="1"/>
  <c r="L70" i="1" l="1"/>
  <c r="L71" i="1" l="1"/>
  <c r="L72" i="1" l="1"/>
  <c r="L73" i="1" l="1"/>
  <c r="L74" i="1" l="1"/>
  <c r="L75" i="1" l="1"/>
  <c r="L76" i="1" l="1"/>
  <c r="L77" i="1" l="1"/>
  <c r="L78" i="1" l="1"/>
  <c r="L79" i="1" l="1"/>
  <c r="L80" i="1" l="1"/>
  <c r="L82" i="1" l="1"/>
  <c r="L83" i="1" l="1"/>
  <c r="L85" i="1" l="1"/>
  <c r="L88" i="1" l="1"/>
  <c r="L86" i="1"/>
  <c r="L87" i="1" l="1"/>
  <c r="L89" i="1" l="1"/>
  <c r="L90" i="1" l="1"/>
  <c r="L91" i="1" l="1"/>
  <c r="L92" i="1" l="1"/>
  <c r="L93" i="1" l="1"/>
  <c r="L94" i="1" l="1"/>
  <c r="L95" i="1" l="1"/>
  <c r="L96" i="1" l="1"/>
  <c r="L97" i="1" l="1"/>
  <c r="L98" i="1" l="1"/>
  <c r="L99" i="1" l="1"/>
  <c r="L100" i="1" l="1"/>
  <c r="L102" i="1" l="1"/>
  <c r="L103" i="1" l="1"/>
  <c r="L105" i="1" l="1"/>
  <c r="L106" i="1" l="1"/>
  <c r="L107" i="1" l="1"/>
  <c r="L109" i="1" l="1"/>
  <c r="L110" i="1" l="1"/>
  <c r="L111" i="1" l="1"/>
  <c r="L113" i="1" l="1"/>
  <c r="L114" i="1" l="1"/>
  <c r="L115" i="1" l="1"/>
  <c r="L116" i="1" l="1"/>
  <c r="L117" i="1" l="1"/>
  <c r="L118" i="1" l="1"/>
  <c r="L119" i="1" l="1"/>
  <c r="L120" i="1" l="1"/>
  <c r="L121" i="1" l="1"/>
  <c r="L122" i="1" l="1"/>
  <c r="L123" i="1" l="1"/>
  <c r="L125" i="1" l="1"/>
  <c r="L126" i="1" l="1"/>
  <c r="L127" i="1" l="1"/>
  <c r="L128" i="1" l="1"/>
  <c r="L130" i="1" l="1"/>
  <c r="L131" i="1" l="1"/>
  <c r="L133" i="1" l="1"/>
  <c r="L134" i="1" l="1"/>
  <c r="L135" i="1" l="1"/>
  <c r="L136" i="1" l="1"/>
  <c r="L137" i="1" l="1"/>
  <c r="L138" i="1" l="1"/>
  <c r="L139" i="1" l="1"/>
  <c r="L140" i="1" l="1"/>
  <c r="L141" i="1" l="1"/>
  <c r="L143" i="1" l="1"/>
  <c r="L144" i="1" l="1"/>
  <c r="L145" i="1" l="1"/>
  <c r="L146" i="1" l="1"/>
  <c r="L151" i="1" s="1"/>
  <c r="L159" i="1" l="1"/>
  <c r="AD76" i="7" l="1"/>
  <c r="AE76" i="7" l="1"/>
  <c r="AF76" i="7" l="1"/>
  <c r="AE32" i="3"/>
  <c r="AE23" i="7"/>
  <c r="AG76" i="7" l="1"/>
  <c r="AF32" i="3"/>
  <c r="AF23" i="7"/>
  <c r="AH76" i="7" l="1"/>
  <c r="AG32" i="3"/>
  <c r="AH32" i="3"/>
  <c r="AH23" i="7"/>
  <c r="AG23" i="7"/>
  <c r="AI76" i="7" l="1"/>
  <c r="AI32" i="3"/>
  <c r="AI23" i="7"/>
  <c r="AJ76" i="7" l="1"/>
  <c r="AJ23" i="7"/>
  <c r="AK23" i="7"/>
  <c r="AK76" i="7" l="1"/>
  <c r="AJ32" i="3"/>
  <c r="AL23" i="7"/>
  <c r="AK32" i="3"/>
  <c r="AL76" i="7" l="1"/>
  <c r="AL32" i="3"/>
  <c r="AM23" i="7"/>
  <c r="AM76" i="7" l="1"/>
  <c r="AM32" i="3"/>
  <c r="AN23" i="7"/>
  <c r="AO23" i="7"/>
  <c r="AN76" i="7" l="1"/>
  <c r="AP23" i="7"/>
  <c r="AQ23" i="7"/>
  <c r="AO32" i="3"/>
  <c r="AN32" i="3"/>
  <c r="AP32" i="3"/>
  <c r="AO76" i="7" l="1"/>
  <c r="AQ32" i="3"/>
  <c r="AP76" i="7" l="1"/>
  <c r="AR32" i="3"/>
  <c r="AR23" i="7"/>
  <c r="AR76" i="7" l="1"/>
  <c r="AQ76" i="7"/>
  <c r="F8" i="5"/>
  <c r="T10" i="5" l="1"/>
  <c r="X10" i="5"/>
  <c r="AB10" i="5"/>
  <c r="U10" i="5"/>
  <c r="Y10" i="5"/>
  <c r="AC10" i="5"/>
  <c r="V10" i="5"/>
  <c r="Z10" i="5"/>
  <c r="AD10" i="5"/>
  <c r="S10" i="5"/>
  <c r="W10" i="5"/>
  <c r="AA10" i="5"/>
  <c r="I10" i="5"/>
  <c r="M10" i="5"/>
  <c r="Q10" i="5"/>
  <c r="L10" i="5"/>
  <c r="J10" i="5"/>
  <c r="N10" i="5"/>
  <c r="R10" i="5"/>
  <c r="H10" i="5"/>
  <c r="K10" i="5"/>
  <c r="O10" i="5"/>
  <c r="G10" i="5"/>
  <c r="P10" i="5"/>
  <c r="E122" i="2"/>
  <c r="F122" i="2"/>
  <c r="G122" i="2"/>
  <c r="H122" i="2"/>
  <c r="F16" i="5"/>
  <c r="D67" i="2"/>
  <c r="D97" i="3"/>
  <c r="D93" i="3"/>
  <c r="D89" i="3"/>
  <c r="D66" i="2"/>
  <c r="F12" i="5"/>
  <c r="AG97" i="3" l="1"/>
  <c r="AG100" i="3" s="1"/>
  <c r="AK97" i="3"/>
  <c r="AK100" i="3" s="1"/>
  <c r="AO97" i="3"/>
  <c r="AO100" i="3" s="1"/>
  <c r="AJ97" i="3"/>
  <c r="AJ100" i="3" s="1"/>
  <c r="AR97" i="3"/>
  <c r="AR100" i="3" s="1"/>
  <c r="AD97" i="3"/>
  <c r="AD100" i="3" s="1"/>
  <c r="AH97" i="3"/>
  <c r="AH100" i="3" s="1"/>
  <c r="AL97" i="3"/>
  <c r="AL100" i="3" s="1"/>
  <c r="AP97" i="3"/>
  <c r="AP100" i="3" s="1"/>
  <c r="AE97" i="3"/>
  <c r="AE100" i="3" s="1"/>
  <c r="AI97" i="3"/>
  <c r="AI100" i="3" s="1"/>
  <c r="AM97" i="3"/>
  <c r="AM100" i="3" s="1"/>
  <c r="AQ97" i="3"/>
  <c r="AQ100" i="3" s="1"/>
  <c r="AF97" i="3"/>
  <c r="AF100" i="3" s="1"/>
  <c r="AN97" i="3"/>
  <c r="AN100" i="3" s="1"/>
  <c r="D68" i="2"/>
  <c r="D84" i="2" s="1"/>
  <c r="I14" i="5"/>
  <c r="M14" i="5"/>
  <c r="Q14" i="5"/>
  <c r="U14" i="5"/>
  <c r="Y14" i="5"/>
  <c r="AC14" i="5"/>
  <c r="J14" i="5"/>
  <c r="N14" i="5"/>
  <c r="R14" i="5"/>
  <c r="V14" i="5"/>
  <c r="Z14" i="5"/>
  <c r="AD14" i="5"/>
  <c r="K14" i="5"/>
  <c r="O14" i="5"/>
  <c r="S14" i="5"/>
  <c r="W14" i="5"/>
  <c r="AA14" i="5"/>
  <c r="G14" i="5"/>
  <c r="H14" i="5"/>
  <c r="P14" i="5"/>
  <c r="T14" i="5"/>
  <c r="X14" i="5"/>
  <c r="AB14" i="5"/>
  <c r="L14" i="5"/>
  <c r="AA18" i="5"/>
  <c r="G18" i="5"/>
  <c r="F20" i="5"/>
  <c r="W18" i="5"/>
  <c r="AG89" i="3"/>
  <c r="AG92" i="3" s="1"/>
  <c r="AH89" i="3"/>
  <c r="AH92" i="3" s="1"/>
  <c r="AF89" i="3"/>
  <c r="AF92" i="3" s="1"/>
  <c r="AK89" i="3"/>
  <c r="AK92" i="3" s="1"/>
  <c r="AM89" i="3"/>
  <c r="AM92" i="3" s="1"/>
  <c r="AD89" i="3"/>
  <c r="AD92" i="3" s="1"/>
  <c r="AL89" i="3"/>
  <c r="AL92" i="3" s="1"/>
  <c r="AR89" i="3"/>
  <c r="AR92" i="3" s="1"/>
  <c r="AP89" i="3"/>
  <c r="AP92" i="3" s="1"/>
  <c r="AN89" i="3"/>
  <c r="AN92" i="3" s="1"/>
  <c r="AQ89" i="3"/>
  <c r="AQ92" i="3" s="1"/>
  <c r="AJ89" i="3"/>
  <c r="AJ92" i="3" s="1"/>
  <c r="AO89" i="3"/>
  <c r="AO92" i="3" s="1"/>
  <c r="AI89" i="3"/>
  <c r="AI92" i="3" s="1"/>
  <c r="AH93" i="3"/>
  <c r="AH96" i="3" s="1"/>
  <c r="AM93" i="3"/>
  <c r="AM96" i="3" s="1"/>
  <c r="AF93" i="3"/>
  <c r="AF96" i="3" s="1"/>
  <c r="AE93" i="3"/>
  <c r="AE96" i="3" s="1"/>
  <c r="AL93" i="3"/>
  <c r="AL96" i="3" s="1"/>
  <c r="AP93" i="3"/>
  <c r="AP96" i="3" s="1"/>
  <c r="AN93" i="3"/>
  <c r="AN96" i="3" s="1"/>
  <c r="AO93" i="3"/>
  <c r="AO96" i="3" s="1"/>
  <c r="AK93" i="3"/>
  <c r="AK96" i="3" s="1"/>
  <c r="AQ93" i="3"/>
  <c r="AQ96" i="3" s="1"/>
  <c r="AD93" i="3"/>
  <c r="AD96" i="3" s="1"/>
  <c r="AR93" i="3"/>
  <c r="AR96" i="3" s="1"/>
  <c r="AI93" i="3"/>
  <c r="AI96" i="3" s="1"/>
  <c r="AG93" i="3"/>
  <c r="AG96" i="3" s="1"/>
  <c r="AJ93" i="3"/>
  <c r="AJ96" i="3" s="1"/>
  <c r="AE89" i="3"/>
  <c r="AE92" i="3" s="1"/>
  <c r="AB18" i="5"/>
  <c r="O18" i="5"/>
  <c r="Z18" i="5"/>
  <c r="M18" i="5"/>
  <c r="AC18" i="5"/>
  <c r="P18" i="5"/>
  <c r="Q18" i="5"/>
  <c r="I18" i="5"/>
  <c r="V18" i="5"/>
  <c r="U18" i="5"/>
  <c r="Y18" i="5"/>
  <c r="S18" i="5"/>
  <c r="L18" i="5"/>
  <c r="N18" i="5"/>
  <c r="T18" i="5"/>
  <c r="H18" i="5"/>
  <c r="AD18" i="5"/>
  <c r="X18" i="5"/>
  <c r="K18" i="5"/>
  <c r="J18" i="5"/>
  <c r="R18" i="5"/>
  <c r="AA20" i="5" l="1"/>
  <c r="AE102" i="3"/>
  <c r="J20" i="5"/>
  <c r="D85" i="2"/>
  <c r="W20" i="5"/>
  <c r="N20" i="5"/>
  <c r="G20" i="5"/>
  <c r="X20" i="5"/>
  <c r="R20" i="5"/>
  <c r="P20" i="5"/>
  <c r="U20" i="5"/>
  <c r="Y20" i="5"/>
  <c r="AF102" i="3"/>
  <c r="H20" i="5"/>
  <c r="K20" i="5"/>
  <c r="AM102" i="3"/>
  <c r="M20" i="5"/>
  <c r="O20" i="5"/>
  <c r="AD20" i="5"/>
  <c r="AO102" i="3"/>
  <c r="AP102" i="3"/>
  <c r="AH102" i="3"/>
  <c r="AC20" i="5"/>
  <c r="T20" i="5"/>
  <c r="I20" i="5"/>
  <c r="Q20" i="5"/>
  <c r="AJ102" i="3"/>
  <c r="AQ102" i="3"/>
  <c r="AR102" i="3"/>
  <c r="AD102" i="3"/>
  <c r="AK102" i="3"/>
  <c r="AG102" i="3"/>
  <c r="Z20" i="5"/>
  <c r="V20" i="5"/>
  <c r="S20" i="5"/>
  <c r="AI102" i="3"/>
  <c r="AN102" i="3"/>
  <c r="AL102" i="3"/>
  <c r="AB20" i="5"/>
  <c r="L20" i="5"/>
  <c r="G23" i="5" l="1"/>
  <c r="D27" i="5" s="1"/>
  <c r="F23" i="5"/>
  <c r="D73" i="2"/>
  <c r="E23" i="3" s="1"/>
  <c r="D8" i="12"/>
  <c r="F23" i="3" l="1"/>
  <c r="G22" i="5"/>
  <c r="H23" i="5"/>
  <c r="I23" i="5" s="1"/>
  <c r="H22" i="5" l="1"/>
  <c r="J23" i="5"/>
  <c r="I22" i="5"/>
  <c r="K23" i="5" l="1"/>
  <c r="J22" i="5"/>
  <c r="L23" i="5" l="1"/>
  <c r="K22" i="5"/>
  <c r="M23" i="5" l="1"/>
  <c r="L22" i="5"/>
  <c r="N23" i="5" l="1"/>
  <c r="M22" i="5"/>
  <c r="O23" i="5" l="1"/>
  <c r="N22" i="5"/>
  <c r="P23" i="5" l="1"/>
  <c r="O22" i="5"/>
  <c r="Q23" i="5" l="1"/>
  <c r="P22" i="5"/>
  <c r="R23" i="5" l="1"/>
  <c r="Q22" i="5"/>
  <c r="S23" i="5" l="1"/>
  <c r="R22" i="5"/>
  <c r="T23" i="5" l="1"/>
  <c r="U23" i="5" s="1"/>
  <c r="V23" i="5" s="1"/>
  <c r="W23" i="5" s="1"/>
  <c r="X23" i="5" s="1"/>
  <c r="Y23" i="5" s="1"/>
  <c r="Z23" i="5" s="1"/>
  <c r="AA23" i="5" s="1"/>
  <c r="AB23" i="5" s="1"/>
  <c r="AC23" i="5" s="1"/>
  <c r="AD23" i="5" s="1"/>
  <c r="S22" i="5"/>
  <c r="V22" i="5" l="1"/>
  <c r="T22" i="5"/>
  <c r="W22" i="5" l="1"/>
  <c r="U22" i="5"/>
  <c r="X22" i="5" l="1"/>
  <c r="Y22" i="5" l="1"/>
  <c r="Z22" i="5" l="1"/>
  <c r="AA22" i="5" l="1"/>
  <c r="AB22" i="5" l="1"/>
  <c r="AD22" i="5" l="1"/>
  <c r="AC22" i="5"/>
  <c r="E79" i="7" l="1"/>
  <c r="G23" i="3"/>
  <c r="H23" i="3" s="1"/>
  <c r="I23" i="3" s="1"/>
  <c r="J23" i="3" s="1"/>
  <c r="K23" i="3" s="1"/>
  <c r="L23" i="3" s="1"/>
  <c r="M23" i="3" s="1"/>
  <c r="N23" i="3" s="1"/>
  <c r="O23" i="3" s="1"/>
  <c r="P23" i="3" s="1"/>
  <c r="Q23" i="3" s="1"/>
  <c r="R23" i="3" s="1"/>
  <c r="S23" i="3" s="1"/>
  <c r="T23" i="3" s="1"/>
  <c r="U23" i="3" s="1"/>
  <c r="V23" i="3" s="1"/>
  <c r="W23" i="3" s="1"/>
  <c r="X23" i="3" s="1"/>
  <c r="Y23" i="3" s="1"/>
  <c r="Z23" i="3" s="1"/>
  <c r="AA23" i="3" s="1"/>
  <c r="AB23" i="3" s="1"/>
  <c r="AC23" i="3" s="1"/>
  <c r="F79" i="7" l="1"/>
  <c r="G79" i="7" l="1"/>
  <c r="H79" i="7" l="1"/>
  <c r="I79" i="7" l="1"/>
  <c r="J79" i="7" l="1"/>
  <c r="K79" i="7" l="1"/>
  <c r="L79" i="7" l="1"/>
  <c r="M79" i="7" l="1"/>
  <c r="N79" i="7" l="1"/>
  <c r="O79" i="7" l="1"/>
  <c r="P79" i="7" l="1"/>
  <c r="L161" i="1" l="1"/>
  <c r="Q79" i="7"/>
  <c r="R79" i="7" l="1"/>
  <c r="S79" i="7" l="1"/>
  <c r="T79" i="7" l="1"/>
  <c r="U79" i="7" l="1"/>
  <c r="V79" i="7" l="1"/>
  <c r="W79" i="7" l="1"/>
  <c r="X79" i="7" l="1"/>
  <c r="Y79" i="7" l="1"/>
  <c r="Z79" i="7" l="1"/>
  <c r="AA79" i="7" l="1"/>
  <c r="AB79" i="7" l="1"/>
  <c r="AC79" i="7" l="1"/>
  <c r="AD79" i="7" l="1"/>
  <c r="AD80" i="7" s="1"/>
  <c r="AE79" i="7" l="1"/>
  <c r="AE80" i="7" s="1"/>
  <c r="AF79" i="7" l="1"/>
  <c r="AF80" i="7" s="1"/>
  <c r="AG79" i="7" l="1"/>
  <c r="AG80" i="7" s="1"/>
  <c r="AH79" i="7" l="1"/>
  <c r="AH80" i="7" s="1"/>
  <c r="AI79" i="7" l="1"/>
  <c r="AI80" i="7" s="1"/>
  <c r="AJ79" i="7" l="1"/>
  <c r="AJ80" i="7" s="1"/>
  <c r="AK79" i="7" l="1"/>
  <c r="AK80" i="7" s="1"/>
  <c r="AL79" i="7" l="1"/>
  <c r="AL80" i="7" s="1"/>
  <c r="AM79" i="7" l="1"/>
  <c r="AM80" i="7" s="1"/>
  <c r="AN79" i="7" l="1"/>
  <c r="AN80" i="7" s="1"/>
  <c r="AO79" i="7" l="1"/>
  <c r="AO80" i="7" s="1"/>
  <c r="AP79" i="7" l="1"/>
  <c r="AP80" i="7" s="1"/>
  <c r="Y59" i="7" l="1"/>
  <c r="AR79" i="7"/>
  <c r="AR80" i="7" s="1"/>
  <c r="AQ79" i="7"/>
  <c r="AQ80" i="7" s="1"/>
  <c r="Z59" i="7" l="1"/>
  <c r="AA59" i="7" l="1"/>
  <c r="AB59" i="7" l="1"/>
  <c r="T74" i="7" l="1"/>
  <c r="T92" i="7"/>
  <c r="T58" i="3"/>
  <c r="T60" i="3" s="1"/>
  <c r="Y41" i="3" l="1"/>
  <c r="Y8" i="7" s="1"/>
  <c r="Y12" i="7" l="1"/>
  <c r="Y14" i="7" s="1"/>
  <c r="Z41" i="3"/>
  <c r="Z8" i="7" s="1"/>
  <c r="AD23" i="7" l="1"/>
  <c r="Y26" i="7"/>
  <c r="Z12" i="7"/>
  <c r="Z14" i="7" s="1"/>
  <c r="Z26" i="7" s="1"/>
  <c r="AA41" i="3"/>
  <c r="AA8" i="7" s="1"/>
  <c r="AD32" i="3" l="1"/>
  <c r="AA12" i="7"/>
  <c r="AA14" i="7" s="1"/>
  <c r="AB41" i="3"/>
  <c r="AB8" i="7" s="1"/>
  <c r="AA26" i="7" l="1"/>
  <c r="AB12" i="7"/>
  <c r="AB14" i="7" s="1"/>
  <c r="AC41" i="3"/>
  <c r="AC8" i="7" s="1"/>
  <c r="AC12" i="7" s="1"/>
  <c r="AB26" i="7" l="1"/>
  <c r="AC59" i="7"/>
  <c r="AC57" i="7" s="1"/>
  <c r="AC14" i="7"/>
  <c r="AC26" i="7" l="1"/>
  <c r="L160" i="1" l="1"/>
  <c r="L163" i="1" s="1"/>
  <c r="E15" i="3" s="1"/>
  <c r="AB57" i="7"/>
  <c r="AA57" i="7"/>
  <c r="Z57" i="7"/>
  <c r="Y57" i="7"/>
  <c r="AC53" i="3"/>
  <c r="AB53" i="3"/>
  <c r="AA53" i="3"/>
  <c r="Z53" i="3"/>
  <c r="Y53" i="3"/>
  <c r="E27" i="5"/>
  <c r="F27" i="5" s="1"/>
  <c r="E91" i="7"/>
  <c r="F91" i="7" s="1"/>
  <c r="D28" i="5" l="1"/>
  <c r="G91" i="7"/>
  <c r="H91" i="7" l="1"/>
  <c r="E28" i="5"/>
  <c r="F28" i="5" s="1"/>
  <c r="D29" i="5" l="1"/>
  <c r="I91" i="7"/>
  <c r="J91" i="7" l="1"/>
  <c r="E29" i="5"/>
  <c r="F29" i="5" s="1"/>
  <c r="D30" i="5" l="1"/>
  <c r="K91" i="7"/>
  <c r="L91" i="7" l="1"/>
  <c r="E30" i="5"/>
  <c r="F30" i="5" s="1"/>
  <c r="D31" i="5" l="1"/>
  <c r="M91" i="7"/>
  <c r="N91" i="7" l="1"/>
  <c r="E31" i="5"/>
  <c r="F31" i="5" s="1"/>
  <c r="D32" i="5" l="1"/>
  <c r="O91" i="7"/>
  <c r="E32" i="5" l="1"/>
  <c r="F32" i="5" s="1"/>
  <c r="P91" i="7"/>
  <c r="D33" i="5" l="1"/>
  <c r="Q91" i="7"/>
  <c r="R91" i="7" l="1"/>
  <c r="E33" i="5"/>
  <c r="F33" i="5" s="1"/>
  <c r="D34" i="5" s="1"/>
  <c r="E34" i="5" l="1"/>
  <c r="F34" i="5" s="1"/>
  <c r="D35" i="5" s="1"/>
  <c r="S91" i="7"/>
  <c r="E35" i="5" l="1"/>
  <c r="F35" i="5" s="1"/>
  <c r="D36" i="5" s="1"/>
  <c r="T91" i="7"/>
  <c r="E36" i="5" l="1"/>
  <c r="F36" i="5" s="1"/>
  <c r="D37" i="5" s="1"/>
  <c r="U91" i="7"/>
  <c r="E37" i="5" l="1"/>
  <c r="F37" i="5" s="1"/>
  <c r="D38" i="5" s="1"/>
  <c r="V91" i="7"/>
  <c r="E38" i="5" l="1"/>
  <c r="F38" i="5" s="1"/>
  <c r="D39" i="5" s="1"/>
  <c r="W91" i="7"/>
  <c r="E39" i="5" l="1"/>
  <c r="F39" i="5" s="1"/>
  <c r="D40" i="5" s="1"/>
  <c r="X91" i="7"/>
  <c r="E40" i="5" l="1"/>
  <c r="F40" i="5" s="1"/>
  <c r="D41" i="5" s="1"/>
  <c r="Y91" i="7"/>
  <c r="E41" i="5" l="1"/>
  <c r="F41" i="5" s="1"/>
  <c r="D42" i="5" s="1"/>
  <c r="Z91" i="7"/>
  <c r="E42" i="5" l="1"/>
  <c r="F42" i="5" s="1"/>
  <c r="D43" i="5" s="1"/>
  <c r="AA91" i="7"/>
  <c r="E43" i="5" l="1"/>
  <c r="F43" i="5" s="1"/>
  <c r="D44" i="5" s="1"/>
  <c r="AB91" i="7"/>
  <c r="E44" i="5" l="1"/>
  <c r="F44" i="5" s="1"/>
  <c r="D45" i="5" s="1"/>
  <c r="AC91" i="7"/>
  <c r="E45" i="5" l="1"/>
  <c r="F45" i="5" s="1"/>
  <c r="D46" i="5" s="1"/>
  <c r="AD91" i="7"/>
  <c r="E46" i="5" l="1"/>
  <c r="F46" i="5" s="1"/>
  <c r="D47" i="5" s="1"/>
  <c r="AE91" i="7"/>
  <c r="E47" i="5" l="1"/>
  <c r="F47" i="5" s="1"/>
  <c r="D48" i="5" s="1"/>
  <c r="AF91" i="7"/>
  <c r="E48" i="5" l="1"/>
  <c r="F48" i="5" s="1"/>
  <c r="D49" i="5" s="1"/>
  <c r="AG91" i="7"/>
  <c r="E49" i="5" l="1"/>
  <c r="F49" i="5" s="1"/>
  <c r="D50" i="5" s="1"/>
  <c r="AH91" i="7"/>
  <c r="AI91" i="7" l="1"/>
  <c r="E50" i="5"/>
  <c r="F50" i="5" s="1"/>
  <c r="F51" i="5" s="1"/>
  <c r="D156" i="1" l="1"/>
  <c r="D161" i="1"/>
  <c r="G161" i="1" s="1"/>
  <c r="J161" i="1" s="1"/>
  <c r="D9" i="12"/>
  <c r="AJ91" i="7"/>
  <c r="D10" i="12" l="1"/>
  <c r="D160" i="1" s="1"/>
  <c r="AK91" i="7"/>
  <c r="D11" i="12" l="1"/>
  <c r="AL91" i="7"/>
  <c r="D163" i="1"/>
  <c r="G160" i="1"/>
  <c r="N18" i="12" l="1"/>
  <c r="Q18" i="12"/>
  <c r="R18" i="12"/>
  <c r="O18" i="12"/>
  <c r="M18" i="12"/>
  <c r="P18" i="12"/>
  <c r="J18" i="12"/>
  <c r="K18" i="12"/>
  <c r="L18" i="12"/>
  <c r="I18" i="12"/>
  <c r="E18" i="12"/>
  <c r="E23" i="12" s="1"/>
  <c r="F18" i="12"/>
  <c r="G18" i="12"/>
  <c r="H18" i="12"/>
  <c r="D21" i="12"/>
  <c r="D23" i="12" s="1"/>
  <c r="D29" i="7"/>
  <c r="AM91" i="7"/>
  <c r="J160" i="1"/>
  <c r="J163" i="1" s="1"/>
  <c r="E14" i="3" s="1"/>
  <c r="G163" i="1"/>
  <c r="D28" i="7" s="1"/>
  <c r="D31" i="7" l="1"/>
  <c r="D47" i="7"/>
  <c r="E19" i="12"/>
  <c r="E20" i="12" s="1"/>
  <c r="E29" i="7" s="1"/>
  <c r="F23" i="12"/>
  <c r="F15" i="3"/>
  <c r="E19" i="3"/>
  <c r="F14" i="3"/>
  <c r="G14" i="3" s="1"/>
  <c r="E18" i="3"/>
  <c r="AN91" i="7"/>
  <c r="E22" i="3"/>
  <c r="E15" i="7"/>
  <c r="E58" i="7" s="1"/>
  <c r="D76" i="3"/>
  <c r="E17" i="7" l="1"/>
  <c r="E30" i="7" s="1"/>
  <c r="E21" i="12"/>
  <c r="F19" i="12" s="1"/>
  <c r="E24" i="3"/>
  <c r="E73" i="7"/>
  <c r="F19" i="3"/>
  <c r="E25" i="3"/>
  <c r="AO91" i="7"/>
  <c r="F15" i="7"/>
  <c r="F58" i="7" s="1"/>
  <c r="H14" i="3"/>
  <c r="G15" i="3"/>
  <c r="G76" i="3" s="1"/>
  <c r="E76" i="3"/>
  <c r="F76" i="3"/>
  <c r="D77" i="3"/>
  <c r="F22" i="3"/>
  <c r="E75" i="7"/>
  <c r="E58" i="3"/>
  <c r="E60" i="3" s="1"/>
  <c r="E55" i="3" s="1"/>
  <c r="E27" i="3"/>
  <c r="E28" i="3"/>
  <c r="E31" i="3" s="1"/>
  <c r="E29" i="3"/>
  <c r="E30" i="3"/>
  <c r="E46" i="3"/>
  <c r="E48" i="3" s="1"/>
  <c r="E43" i="3" s="1"/>
  <c r="E33" i="3" l="1"/>
  <c r="E41" i="3" s="1"/>
  <c r="H15" i="3"/>
  <c r="H76" i="3" s="1"/>
  <c r="I14" i="3"/>
  <c r="J14" i="3" s="1"/>
  <c r="K14" i="3" s="1"/>
  <c r="G15" i="7"/>
  <c r="G58" i="7" s="1"/>
  <c r="F43" i="3"/>
  <c r="E28" i="9"/>
  <c r="G22" i="3"/>
  <c r="F75" i="7"/>
  <c r="F17" i="7"/>
  <c r="E32" i="3"/>
  <c r="E34" i="3" s="1"/>
  <c r="E53" i="3" s="1"/>
  <c r="I28" i="9"/>
  <c r="F55" i="3"/>
  <c r="G55" i="3" s="1"/>
  <c r="H55" i="3" s="1"/>
  <c r="I55" i="3" s="1"/>
  <c r="J55" i="3" s="1"/>
  <c r="K55" i="3" s="1"/>
  <c r="L55" i="3" s="1"/>
  <c r="M55" i="3" s="1"/>
  <c r="N55" i="3" s="1"/>
  <c r="O55" i="3" s="1"/>
  <c r="P55" i="3" s="1"/>
  <c r="Q55" i="3" s="1"/>
  <c r="R55" i="3" s="1"/>
  <c r="S55" i="3" s="1"/>
  <c r="T55" i="3" s="1"/>
  <c r="U55" i="3" s="1"/>
  <c r="V55" i="3" s="1"/>
  <c r="W55" i="3" s="1"/>
  <c r="X55" i="3" s="1"/>
  <c r="Y55" i="3" s="1"/>
  <c r="Z55" i="3" s="1"/>
  <c r="AA55" i="3" s="1"/>
  <c r="AB55" i="3" s="1"/>
  <c r="AC55" i="3" s="1"/>
  <c r="F24" i="3"/>
  <c r="G19" i="3"/>
  <c r="F73" i="7"/>
  <c r="F25" i="3"/>
  <c r="E77" i="3"/>
  <c r="E79" i="3" s="1"/>
  <c r="E81" i="3" s="1"/>
  <c r="E82" i="3" s="1"/>
  <c r="E84" i="3" s="1"/>
  <c r="F77" i="3"/>
  <c r="F79" i="3" s="1"/>
  <c r="F81" i="3" s="1"/>
  <c r="F82" i="3" s="1"/>
  <c r="F84" i="3" s="1"/>
  <c r="F20" i="12"/>
  <c r="AP91" i="7"/>
  <c r="E76" i="7"/>
  <c r="E80" i="7" s="1"/>
  <c r="F30" i="3"/>
  <c r="E93" i="3"/>
  <c r="E96" i="3" s="1"/>
  <c r="E89" i="3"/>
  <c r="E92" i="3" s="1"/>
  <c r="E97" i="3"/>
  <c r="E100" i="3" s="1"/>
  <c r="F27" i="3"/>
  <c r="F29" i="3"/>
  <c r="F28" i="3"/>
  <c r="F31" i="3" s="1"/>
  <c r="H15" i="7" l="1"/>
  <c r="H58" i="7" s="1"/>
  <c r="I15" i="3"/>
  <c r="J15" i="3" s="1"/>
  <c r="F76" i="7"/>
  <c r="F80" i="7" s="1"/>
  <c r="E65" i="3"/>
  <c r="E71" i="3" s="1"/>
  <c r="F33" i="3"/>
  <c r="F65" i="3" s="1"/>
  <c r="F71" i="3" s="1"/>
  <c r="F52" i="9"/>
  <c r="F56" i="9"/>
  <c r="F54" i="9"/>
  <c r="F58" i="9"/>
  <c r="F45" i="9"/>
  <c r="F39" i="9"/>
  <c r="F43" i="9"/>
  <c r="F41" i="9"/>
  <c r="H16" i="9"/>
  <c r="L11" i="9"/>
  <c r="A26" i="9"/>
  <c r="E16" i="9"/>
  <c r="F16" i="9"/>
  <c r="G16" i="9"/>
  <c r="I11" i="9"/>
  <c r="J16" i="9"/>
  <c r="L16" i="9"/>
  <c r="E56" i="9"/>
  <c r="E45" i="9"/>
  <c r="E52" i="9"/>
  <c r="G11" i="9"/>
  <c r="J11" i="9"/>
  <c r="E43" i="9"/>
  <c r="K16" i="9"/>
  <c r="F11" i="9"/>
  <c r="E41" i="9"/>
  <c r="K11" i="9"/>
  <c r="E11" i="9"/>
  <c r="I16" i="9"/>
  <c r="E54" i="9"/>
  <c r="H11" i="9"/>
  <c r="E39" i="9"/>
  <c r="E58" i="9"/>
  <c r="I26" i="9"/>
  <c r="E61" i="9"/>
  <c r="E102" i="3"/>
  <c r="E102" i="7"/>
  <c r="F29" i="7"/>
  <c r="G23" i="12"/>
  <c r="F21" i="12"/>
  <c r="G73" i="7"/>
  <c r="G25" i="3"/>
  <c r="H19" i="3"/>
  <c r="G24" i="3"/>
  <c r="L21" i="9"/>
  <c r="K21" i="9"/>
  <c r="I17" i="9"/>
  <c r="K17" i="9"/>
  <c r="J21" i="9"/>
  <c r="I21" i="9"/>
  <c r="J17" i="9"/>
  <c r="L17" i="9"/>
  <c r="G75" i="7"/>
  <c r="H22" i="3"/>
  <c r="AQ91" i="7"/>
  <c r="E26" i="9"/>
  <c r="E8" i="7"/>
  <c r="E12" i="7" s="1"/>
  <c r="E48" i="9"/>
  <c r="F30" i="7"/>
  <c r="G17" i="9"/>
  <c r="E17" i="9"/>
  <c r="G21" i="9"/>
  <c r="F21" i="9"/>
  <c r="H17" i="9"/>
  <c r="F17" i="9"/>
  <c r="E21" i="9"/>
  <c r="H21" i="9"/>
  <c r="L14" i="3"/>
  <c r="F32" i="3"/>
  <c r="F34" i="3" s="1"/>
  <c r="F53" i="3" s="1"/>
  <c r="F61" i="9" s="1"/>
  <c r="G30" i="3"/>
  <c r="F93" i="3"/>
  <c r="F96" i="3" s="1"/>
  <c r="F89" i="3"/>
  <c r="F92" i="3" s="1"/>
  <c r="F97" i="3"/>
  <c r="F100" i="3" s="1"/>
  <c r="G27" i="3"/>
  <c r="G28" i="3"/>
  <c r="G31" i="3" s="1"/>
  <c r="G29" i="3"/>
  <c r="G43" i="3"/>
  <c r="I76" i="3" l="1"/>
  <c r="I15" i="7"/>
  <c r="I58" i="7" s="1"/>
  <c r="F41" i="3"/>
  <c r="F48" i="9" s="1"/>
  <c r="E42" i="9"/>
  <c r="E44" i="9"/>
  <c r="E40" i="9"/>
  <c r="E46" i="9"/>
  <c r="G32" i="3"/>
  <c r="G34" i="3" s="1"/>
  <c r="G53" i="3" s="1"/>
  <c r="G61" i="9" s="1"/>
  <c r="J76" i="3"/>
  <c r="E59" i="7"/>
  <c r="E57" i="7" s="1"/>
  <c r="E14" i="7"/>
  <c r="AR91" i="7"/>
  <c r="H73" i="7"/>
  <c r="H24" i="3"/>
  <c r="H25" i="3"/>
  <c r="I19" i="3"/>
  <c r="E104" i="7"/>
  <c r="E97" i="7"/>
  <c r="E99" i="7" s="1"/>
  <c r="J12" i="9"/>
  <c r="K24" i="9"/>
  <c r="I24" i="9" s="1"/>
  <c r="J19" i="9"/>
  <c r="L19" i="9"/>
  <c r="I19" i="9"/>
  <c r="K12" i="9"/>
  <c r="K19" i="9"/>
  <c r="I12" i="9"/>
  <c r="J24" i="9"/>
  <c r="L12" i="9"/>
  <c r="G12" i="9"/>
  <c r="E19" i="9"/>
  <c r="G19" i="9"/>
  <c r="F12" i="9"/>
  <c r="G24" i="9"/>
  <c r="E24" i="9" s="1"/>
  <c r="H12" i="9"/>
  <c r="H19" i="9"/>
  <c r="E12" i="9"/>
  <c r="F19" i="9"/>
  <c r="F24" i="9"/>
  <c r="G93" i="3"/>
  <c r="G96" i="3" s="1"/>
  <c r="H30" i="3"/>
  <c r="G97" i="3"/>
  <c r="G100" i="3" s="1"/>
  <c r="G89" i="3"/>
  <c r="G92" i="3" s="1"/>
  <c r="H43" i="3"/>
  <c r="F55" i="9"/>
  <c r="F53" i="9"/>
  <c r="F57" i="9"/>
  <c r="F59" i="9"/>
  <c r="G33" i="3"/>
  <c r="F102" i="3"/>
  <c r="M14" i="3"/>
  <c r="J15" i="7"/>
  <c r="J58" i="7" s="1"/>
  <c r="H75" i="7"/>
  <c r="I22" i="3"/>
  <c r="H28" i="3"/>
  <c r="H31" i="3" s="1"/>
  <c r="H29" i="3"/>
  <c r="H27" i="3"/>
  <c r="G76" i="7"/>
  <c r="G80" i="7" s="1"/>
  <c r="G19" i="12"/>
  <c r="K15" i="3"/>
  <c r="F8" i="7"/>
  <c r="F12" i="7" s="1"/>
  <c r="E59" i="9"/>
  <c r="E53" i="9"/>
  <c r="E55" i="9"/>
  <c r="E57" i="9"/>
  <c r="H33" i="3" l="1"/>
  <c r="G17" i="7"/>
  <c r="G77" i="3"/>
  <c r="G79" i="3" s="1"/>
  <c r="G81" i="3" s="1"/>
  <c r="G82" i="3" s="1"/>
  <c r="G84" i="3" s="1"/>
  <c r="L15" i="3"/>
  <c r="M15" i="3" s="1"/>
  <c r="N15" i="3" s="1"/>
  <c r="O15" i="3" s="1"/>
  <c r="G102" i="3"/>
  <c r="H93" i="3"/>
  <c r="H96" i="3" s="1"/>
  <c r="H97" i="3"/>
  <c r="H100" i="3" s="1"/>
  <c r="I30" i="3"/>
  <c r="H89" i="3"/>
  <c r="H92" i="3" s="1"/>
  <c r="J22" i="3"/>
  <c r="I75" i="7"/>
  <c r="I43" i="3"/>
  <c r="I29" i="3"/>
  <c r="I27" i="3"/>
  <c r="I28" i="3"/>
  <c r="I31" i="3" s="1"/>
  <c r="F42" i="9"/>
  <c r="F40" i="9"/>
  <c r="F44" i="9"/>
  <c r="F46" i="9"/>
  <c r="K76" i="3"/>
  <c r="K15" i="7"/>
  <c r="K58" i="7" s="1"/>
  <c r="G20" i="12"/>
  <c r="H32" i="3"/>
  <c r="H34" i="3" s="1"/>
  <c r="H53" i="3" s="1"/>
  <c r="H61" i="9" s="1"/>
  <c r="H76" i="7"/>
  <c r="H80" i="7" s="1"/>
  <c r="E26" i="7"/>
  <c r="E16" i="7"/>
  <c r="F59" i="7"/>
  <c r="F57" i="7" s="1"/>
  <c r="F14" i="7"/>
  <c r="H65" i="3"/>
  <c r="H71" i="3" s="1"/>
  <c r="H41" i="3"/>
  <c r="G65" i="3"/>
  <c r="G71" i="3" s="1"/>
  <c r="G41" i="3"/>
  <c r="I24" i="3"/>
  <c r="I73" i="7"/>
  <c r="I25" i="3"/>
  <c r="J19" i="3"/>
  <c r="N14" i="3"/>
  <c r="I76" i="7" l="1"/>
  <c r="I80" i="7" s="1"/>
  <c r="H23" i="12"/>
  <c r="H102" i="3"/>
  <c r="P15" i="3"/>
  <c r="Q15" i="3" s="1"/>
  <c r="R15" i="3" s="1"/>
  <c r="S15" i="3" s="1"/>
  <c r="T15" i="3" s="1"/>
  <c r="N15" i="7"/>
  <c r="N58" i="7" s="1"/>
  <c r="N76" i="3"/>
  <c r="O14" i="3"/>
  <c r="F26" i="7"/>
  <c r="F16" i="7"/>
  <c r="G29" i="7"/>
  <c r="F102" i="7"/>
  <c r="G21" i="12"/>
  <c r="J43" i="3"/>
  <c r="J75" i="7"/>
  <c r="K22" i="3"/>
  <c r="G59" i="9"/>
  <c r="J28" i="3"/>
  <c r="J31" i="3" s="1"/>
  <c r="J27" i="3"/>
  <c r="J29" i="3"/>
  <c r="H8" i="7"/>
  <c r="H12" i="7" s="1"/>
  <c r="H48" i="9"/>
  <c r="L15" i="7"/>
  <c r="L58" i="7" s="1"/>
  <c r="L76" i="3"/>
  <c r="G56" i="9"/>
  <c r="G45" i="9"/>
  <c r="G43" i="9"/>
  <c r="G54" i="9"/>
  <c r="G39" i="9"/>
  <c r="G58" i="9"/>
  <c r="G52" i="9"/>
  <c r="G41" i="9"/>
  <c r="G53" i="9"/>
  <c r="J73" i="7"/>
  <c r="J24" i="3"/>
  <c r="J25" i="3"/>
  <c r="K19" i="3"/>
  <c r="G48" i="9"/>
  <c r="G8" i="7"/>
  <c r="G12" i="7" s="1"/>
  <c r="E18" i="7"/>
  <c r="E38" i="7"/>
  <c r="I89" i="3"/>
  <c r="I92" i="3" s="1"/>
  <c r="I97" i="3"/>
  <c r="I100" i="3" s="1"/>
  <c r="J30" i="3"/>
  <c r="I93" i="3"/>
  <c r="I96" i="3" s="1"/>
  <c r="E37" i="7"/>
  <c r="I32" i="3"/>
  <c r="I34" i="3" s="1"/>
  <c r="I53" i="3" s="1"/>
  <c r="I61" i="9" s="1"/>
  <c r="M15" i="7"/>
  <c r="M58" i="7" s="1"/>
  <c r="G57" i="9"/>
  <c r="I33" i="3"/>
  <c r="M76" i="3"/>
  <c r="G30" i="7"/>
  <c r="G55" i="9"/>
  <c r="J76" i="7" l="1"/>
  <c r="J80" i="7" s="1"/>
  <c r="J33" i="3"/>
  <c r="J41" i="3" s="1"/>
  <c r="J8" i="7" s="1"/>
  <c r="J12" i="7" s="1"/>
  <c r="J61" i="9"/>
  <c r="I65" i="3"/>
  <c r="I71" i="3" s="1"/>
  <c r="I41" i="3"/>
  <c r="K73" i="7"/>
  <c r="K24" i="3"/>
  <c r="L19" i="3"/>
  <c r="K25" i="3"/>
  <c r="U15" i="3"/>
  <c r="H19" i="12"/>
  <c r="H20" i="12" s="1"/>
  <c r="F104" i="7"/>
  <c r="F97" i="7"/>
  <c r="F99" i="7" s="1"/>
  <c r="F37" i="7"/>
  <c r="O15" i="7"/>
  <c r="O58" i="7" s="1"/>
  <c r="O76" i="3"/>
  <c r="P14" i="3"/>
  <c r="J32" i="3"/>
  <c r="J34" i="3" s="1"/>
  <c r="J53" i="3" s="1"/>
  <c r="E19" i="7"/>
  <c r="E20" i="7" s="1"/>
  <c r="J93" i="3"/>
  <c r="J96" i="3" s="1"/>
  <c r="K30" i="3"/>
  <c r="J89" i="3"/>
  <c r="J92" i="3" s="1"/>
  <c r="J97" i="3"/>
  <c r="J100" i="3" s="1"/>
  <c r="H14" i="7"/>
  <c r="H59" i="7"/>
  <c r="H57" i="7" s="1"/>
  <c r="G14" i="7"/>
  <c r="G59" i="7"/>
  <c r="G57" i="7" s="1"/>
  <c r="K29" i="3"/>
  <c r="K27" i="3"/>
  <c r="K28" i="3"/>
  <c r="K31" i="3" s="1"/>
  <c r="K75" i="7"/>
  <c r="L22" i="3"/>
  <c r="K43" i="3"/>
  <c r="I102" i="3"/>
  <c r="G44" i="9"/>
  <c r="G42" i="9"/>
  <c r="G46" i="9"/>
  <c r="G40" i="9"/>
  <c r="F18" i="7"/>
  <c r="F38" i="7"/>
  <c r="J65" i="3" l="1"/>
  <c r="J71" i="3" s="1"/>
  <c r="I23" i="12"/>
  <c r="E52" i="7"/>
  <c r="L75" i="7"/>
  <c r="M22" i="3"/>
  <c r="H16" i="7"/>
  <c r="H26" i="7"/>
  <c r="P15" i="7"/>
  <c r="P58" i="7" s="1"/>
  <c r="P76" i="3"/>
  <c r="Q14" i="3"/>
  <c r="G102" i="7"/>
  <c r="H29" i="7"/>
  <c r="L73" i="7"/>
  <c r="L24" i="3"/>
  <c r="M19" i="3"/>
  <c r="L25" i="3"/>
  <c r="J14" i="7"/>
  <c r="J59" i="7"/>
  <c r="J57" i="7" s="1"/>
  <c r="K33" i="3"/>
  <c r="F19" i="7"/>
  <c r="H17" i="7"/>
  <c r="H77" i="3"/>
  <c r="H79" i="3" s="1"/>
  <c r="H81" i="3" s="1"/>
  <c r="L43" i="3"/>
  <c r="J102" i="3"/>
  <c r="L27" i="3"/>
  <c r="L28" i="3"/>
  <c r="L31" i="3" s="1"/>
  <c r="L29" i="3"/>
  <c r="G26" i="7"/>
  <c r="G16" i="7"/>
  <c r="K32" i="3"/>
  <c r="K34" i="3" s="1"/>
  <c r="K53" i="3" s="1"/>
  <c r="E27" i="7"/>
  <c r="E28" i="7" s="1"/>
  <c r="E31" i="7" s="1"/>
  <c r="E23" i="7"/>
  <c r="H21" i="12"/>
  <c r="V15" i="3"/>
  <c r="W15" i="3" s="1"/>
  <c r="X15" i="3" s="1"/>
  <c r="Y15" i="3" s="1"/>
  <c r="K97" i="3"/>
  <c r="K100" i="3" s="1"/>
  <c r="K93" i="3"/>
  <c r="K96" i="3" s="1"/>
  <c r="L30" i="3"/>
  <c r="K89" i="3"/>
  <c r="K92" i="3" s="1"/>
  <c r="K76" i="7"/>
  <c r="K80" i="7" s="1"/>
  <c r="I8" i="7"/>
  <c r="I12" i="7" s="1"/>
  <c r="I48" i="9"/>
  <c r="L76" i="7" l="1"/>
  <c r="L80" i="7" s="1"/>
  <c r="H18" i="7"/>
  <c r="L33" i="3"/>
  <c r="K102" i="3"/>
  <c r="G37" i="7"/>
  <c r="H82" i="3"/>
  <c r="H84" i="3" s="1"/>
  <c r="H53" i="9"/>
  <c r="H55" i="9"/>
  <c r="H57" i="9"/>
  <c r="H59" i="9"/>
  <c r="H46" i="9"/>
  <c r="H40" i="9"/>
  <c r="H42" i="9"/>
  <c r="H44" i="9"/>
  <c r="F27" i="7"/>
  <c r="F28" i="7" s="1"/>
  <c r="F31" i="7" s="1"/>
  <c r="F23" i="7"/>
  <c r="K65" i="3"/>
  <c r="K71" i="3" s="1"/>
  <c r="K41" i="3"/>
  <c r="K8" i="7" s="1"/>
  <c r="K12" i="7" s="1"/>
  <c r="L97" i="3"/>
  <c r="L100" i="3" s="1"/>
  <c r="L93" i="3"/>
  <c r="L96" i="3" s="1"/>
  <c r="M30" i="3"/>
  <c r="L89" i="3"/>
  <c r="L92" i="3" s="1"/>
  <c r="Q15" i="7"/>
  <c r="Q58" i="7" s="1"/>
  <c r="Q76" i="3"/>
  <c r="R14" i="3"/>
  <c r="J48" i="9"/>
  <c r="L32" i="3"/>
  <c r="L34" i="3" s="1"/>
  <c r="L53" i="3" s="1"/>
  <c r="G104" i="7"/>
  <c r="G97" i="7"/>
  <c r="G99" i="7" s="1"/>
  <c r="Z15" i="3"/>
  <c r="M73" i="7"/>
  <c r="M24" i="3"/>
  <c r="M25" i="3"/>
  <c r="N19" i="3"/>
  <c r="I14" i="7"/>
  <c r="I59" i="7"/>
  <c r="I57" i="7" s="1"/>
  <c r="H35" i="9" s="1"/>
  <c r="I19" i="12"/>
  <c r="I20" i="12" s="1"/>
  <c r="M43" i="3"/>
  <c r="H30" i="7"/>
  <c r="H37" i="7" s="1"/>
  <c r="H38" i="7"/>
  <c r="J26" i="7"/>
  <c r="J16" i="7"/>
  <c r="M29" i="3"/>
  <c r="M28" i="3"/>
  <c r="M31" i="3" s="1"/>
  <c r="M27" i="3"/>
  <c r="N22" i="3"/>
  <c r="M75" i="7"/>
  <c r="F20" i="7"/>
  <c r="G18" i="7"/>
  <c r="G38" i="7"/>
  <c r="L41" i="3" l="1"/>
  <c r="L8" i="7" s="1"/>
  <c r="L12" i="7" s="1"/>
  <c r="L59" i="7" s="1"/>
  <c r="L57" i="7" s="1"/>
  <c r="L65" i="3"/>
  <c r="L71" i="3" s="1"/>
  <c r="L102" i="3"/>
  <c r="J23" i="12"/>
  <c r="H102" i="7"/>
  <c r="I29" i="7"/>
  <c r="I21" i="12"/>
  <c r="N43" i="3"/>
  <c r="R15" i="7"/>
  <c r="R58" i="7" s="1"/>
  <c r="R76" i="3"/>
  <c r="S14" i="3"/>
  <c r="G19" i="7"/>
  <c r="O22" i="3"/>
  <c r="N75" i="7"/>
  <c r="M33" i="3"/>
  <c r="N30" i="3"/>
  <c r="M89" i="3"/>
  <c r="M92" i="3" s="1"/>
  <c r="M93" i="3"/>
  <c r="M96" i="3" s="1"/>
  <c r="M97" i="3"/>
  <c r="M100" i="3" s="1"/>
  <c r="F52" i="7"/>
  <c r="I26" i="7"/>
  <c r="I16" i="7"/>
  <c r="N29" i="3"/>
  <c r="N28" i="3"/>
  <c r="N31" i="3" s="1"/>
  <c r="N27" i="3"/>
  <c r="K14" i="7"/>
  <c r="K59" i="7"/>
  <c r="K57" i="7" s="1"/>
  <c r="E47" i="7"/>
  <c r="E48" i="7" s="1"/>
  <c r="I17" i="7"/>
  <c r="I77" i="3"/>
  <c r="I79" i="3" s="1"/>
  <c r="I81" i="3" s="1"/>
  <c r="N73" i="7"/>
  <c r="N24" i="3"/>
  <c r="O19" i="3"/>
  <c r="N25" i="3"/>
  <c r="M76" i="7"/>
  <c r="M80" i="7" s="1"/>
  <c r="AA15" i="3"/>
  <c r="M32" i="3"/>
  <c r="M34" i="3" s="1"/>
  <c r="M53" i="3" s="1"/>
  <c r="H56" i="9"/>
  <c r="H52" i="9"/>
  <c r="H58" i="9"/>
  <c r="H54" i="9"/>
  <c r="H43" i="9"/>
  <c r="H39" i="9"/>
  <c r="H41" i="9"/>
  <c r="H45" i="9"/>
  <c r="L14" i="7" l="1"/>
  <c r="L26" i="7" s="1"/>
  <c r="N76" i="7"/>
  <c r="N80" i="7" s="1"/>
  <c r="N33" i="3"/>
  <c r="N65" i="3" s="1"/>
  <c r="N71" i="3" s="1"/>
  <c r="O30" i="3"/>
  <c r="N97" i="3"/>
  <c r="N100" i="3" s="1"/>
  <c r="N89" i="3"/>
  <c r="N92" i="3" s="1"/>
  <c r="N93" i="3"/>
  <c r="N96" i="3" s="1"/>
  <c r="E32" i="7"/>
  <c r="F32" i="7"/>
  <c r="F21" i="7" s="1"/>
  <c r="F22" i="7" s="1"/>
  <c r="N32" i="3"/>
  <c r="N34" i="3" s="1"/>
  <c r="N53" i="3" s="1"/>
  <c r="O75" i="7"/>
  <c r="P22" i="3"/>
  <c r="AB15" i="3"/>
  <c r="O73" i="7"/>
  <c r="O24" i="3"/>
  <c r="P19" i="3"/>
  <c r="O25" i="3"/>
  <c r="I82" i="3"/>
  <c r="I84" i="3" s="1"/>
  <c r="I55" i="9"/>
  <c r="J55" i="9" s="1"/>
  <c r="I57" i="9"/>
  <c r="J57" i="9" s="1"/>
  <c r="I53" i="9"/>
  <c r="J53" i="9" s="1"/>
  <c r="I59" i="9"/>
  <c r="J59" i="9" s="1"/>
  <c r="I44" i="9"/>
  <c r="J44" i="9" s="1"/>
  <c r="I40" i="9"/>
  <c r="J40" i="9" s="1"/>
  <c r="I46" i="9"/>
  <c r="J46" i="9" s="1"/>
  <c r="I42" i="9"/>
  <c r="J42" i="9" s="1"/>
  <c r="M65" i="3"/>
  <c r="M71" i="3" s="1"/>
  <c r="M41" i="3"/>
  <c r="M8" i="7" s="1"/>
  <c r="M12" i="7" s="1"/>
  <c r="G27" i="7"/>
  <c r="G28" i="7" s="1"/>
  <c r="G31" i="7" s="1"/>
  <c r="G23" i="7"/>
  <c r="S15" i="7"/>
  <c r="S58" i="7" s="1"/>
  <c r="S76" i="3"/>
  <c r="T14" i="3"/>
  <c r="F47" i="7"/>
  <c r="I18" i="7"/>
  <c r="H19" i="7"/>
  <c r="H104" i="7"/>
  <c r="H97" i="7"/>
  <c r="H99" i="7" s="1"/>
  <c r="O28" i="3"/>
  <c r="O31" i="3" s="1"/>
  <c r="O27" i="3"/>
  <c r="O29" i="3"/>
  <c r="I38" i="7"/>
  <c r="J35" i="9" s="1"/>
  <c r="I30" i="7"/>
  <c r="I37" i="7" s="1"/>
  <c r="I35" i="9" s="1"/>
  <c r="K26" i="7"/>
  <c r="K16" i="7"/>
  <c r="M102" i="3"/>
  <c r="G20" i="7"/>
  <c r="O43" i="3"/>
  <c r="J19" i="12"/>
  <c r="J20" i="12" s="1"/>
  <c r="L16" i="7" l="1"/>
  <c r="N41" i="3"/>
  <c r="N8" i="7" s="1"/>
  <c r="N12" i="7" s="1"/>
  <c r="N59" i="7" s="1"/>
  <c r="N57" i="7" s="1"/>
  <c r="O76" i="7"/>
  <c r="O80" i="7" s="1"/>
  <c r="J21" i="12"/>
  <c r="K19" i="12" s="1"/>
  <c r="F33" i="7"/>
  <c r="H27" i="7"/>
  <c r="H28" i="7" s="1"/>
  <c r="H31" i="7" s="1"/>
  <c r="H23" i="7"/>
  <c r="H20" i="7"/>
  <c r="F48" i="7"/>
  <c r="I58" i="9"/>
  <c r="J58" i="9" s="1"/>
  <c r="I54" i="9"/>
  <c r="J54" i="9" s="1"/>
  <c r="I43" i="9"/>
  <c r="J43" i="9" s="1"/>
  <c r="I52" i="9"/>
  <c r="J52" i="9" s="1"/>
  <c r="I45" i="9"/>
  <c r="J45" i="9" s="1"/>
  <c r="I39" i="9"/>
  <c r="J39" i="9" s="1"/>
  <c r="I56" i="9"/>
  <c r="J56" i="9" s="1"/>
  <c r="I41" i="9"/>
  <c r="J41" i="9" s="1"/>
  <c r="P29" i="3"/>
  <c r="P28" i="3"/>
  <c r="P31" i="3" s="1"/>
  <c r="P27" i="3"/>
  <c r="P75" i="7"/>
  <c r="Q22" i="3"/>
  <c r="O32" i="3"/>
  <c r="O34" i="3" s="1"/>
  <c r="O53" i="3" s="1"/>
  <c r="G52" i="7"/>
  <c r="O33" i="3"/>
  <c r="O97" i="3"/>
  <c r="O100" i="3" s="1"/>
  <c r="P30" i="3"/>
  <c r="O93" i="3"/>
  <c r="O96" i="3" s="1"/>
  <c r="O89" i="3"/>
  <c r="O92" i="3" s="1"/>
  <c r="J17" i="7"/>
  <c r="J77" i="3"/>
  <c r="J79" i="3" s="1"/>
  <c r="J81" i="3" s="1"/>
  <c r="J82" i="3" s="1"/>
  <c r="J84" i="3" s="1"/>
  <c r="P43" i="3"/>
  <c r="I19" i="7"/>
  <c r="T15" i="7"/>
  <c r="T58" i="7" s="1"/>
  <c r="T76" i="3"/>
  <c r="U14" i="3"/>
  <c r="M59" i="7"/>
  <c r="M57" i="7" s="1"/>
  <c r="M14" i="7"/>
  <c r="AC15" i="3"/>
  <c r="E21" i="7"/>
  <c r="E22" i="7" s="1"/>
  <c r="E39" i="7"/>
  <c r="F39" i="7"/>
  <c r="N102" i="3"/>
  <c r="I102" i="7"/>
  <c r="J29" i="7"/>
  <c r="P24" i="3"/>
  <c r="P73" i="7"/>
  <c r="Q19" i="3"/>
  <c r="P25" i="3"/>
  <c r="E33" i="7"/>
  <c r="E84" i="7" s="1"/>
  <c r="E85" i="7" s="1"/>
  <c r="P76" i="7" l="1"/>
  <c r="P80" i="7" s="1"/>
  <c r="N14" i="7"/>
  <c r="N26" i="7" s="1"/>
  <c r="O102" i="3"/>
  <c r="K20" i="12"/>
  <c r="K23" i="12"/>
  <c r="P33" i="3"/>
  <c r="P41" i="3" s="1"/>
  <c r="P8" i="7" s="1"/>
  <c r="P12" i="7" s="1"/>
  <c r="P89" i="3"/>
  <c r="P92" i="3" s="1"/>
  <c r="P97" i="3"/>
  <c r="P100" i="3" s="1"/>
  <c r="Q30" i="3"/>
  <c r="P93" i="3"/>
  <c r="P96" i="3" s="1"/>
  <c r="H52" i="7"/>
  <c r="Q73" i="7"/>
  <c r="R19" i="3"/>
  <c r="Q24" i="3"/>
  <c r="Q25" i="3"/>
  <c r="E93" i="7"/>
  <c r="M26" i="7"/>
  <c r="M16" i="7"/>
  <c r="I27" i="7"/>
  <c r="I28" i="7" s="1"/>
  <c r="I31" i="7" s="1"/>
  <c r="I23" i="7"/>
  <c r="J30" i="7"/>
  <c r="J38" i="7"/>
  <c r="J18" i="7"/>
  <c r="P32" i="3"/>
  <c r="P34" i="3" s="1"/>
  <c r="P53" i="3" s="1"/>
  <c r="G47" i="7"/>
  <c r="G48" i="7" s="1"/>
  <c r="K17" i="7"/>
  <c r="K77" i="3"/>
  <c r="K79" i="3" s="1"/>
  <c r="K81" i="3" s="1"/>
  <c r="K82" i="3" s="1"/>
  <c r="K84" i="3" s="1"/>
  <c r="F84" i="7"/>
  <c r="F85" i="7" s="1"/>
  <c r="E87" i="7"/>
  <c r="AD15" i="3"/>
  <c r="I20" i="7"/>
  <c r="Q43" i="3"/>
  <c r="N16" i="7"/>
  <c r="Q28" i="3"/>
  <c r="Q31" i="3" s="1"/>
  <c r="Q29" i="3"/>
  <c r="Q27" i="3"/>
  <c r="I104" i="7"/>
  <c r="I97" i="7"/>
  <c r="I99" i="7" s="1"/>
  <c r="U15" i="7"/>
  <c r="U58" i="7" s="1"/>
  <c r="U76" i="3"/>
  <c r="V14" i="3"/>
  <c r="O65" i="3"/>
  <c r="O71" i="3" s="1"/>
  <c r="O41" i="3"/>
  <c r="O8" i="7" s="1"/>
  <c r="O12" i="7" s="1"/>
  <c r="R22" i="3"/>
  <c r="Q75" i="7"/>
  <c r="K29" i="7" l="1"/>
  <c r="J102" i="7"/>
  <c r="J97" i="7" s="1"/>
  <c r="J99" i="7" s="1"/>
  <c r="K21" i="12"/>
  <c r="L19" i="12" s="1"/>
  <c r="L20" i="12" s="1"/>
  <c r="L21" i="12" s="1"/>
  <c r="L23" i="12"/>
  <c r="P65" i="3"/>
  <c r="P71" i="3" s="1"/>
  <c r="P102" i="3"/>
  <c r="K38" i="7"/>
  <c r="K30" i="7"/>
  <c r="K18" i="7"/>
  <c r="F93" i="7"/>
  <c r="E94" i="7"/>
  <c r="V15" i="7"/>
  <c r="V58" i="7" s="1"/>
  <c r="V76" i="3"/>
  <c r="W14" i="3"/>
  <c r="Q33" i="3"/>
  <c r="I52" i="7"/>
  <c r="H47" i="7"/>
  <c r="I47" i="7" s="1"/>
  <c r="Q76" i="7"/>
  <c r="Q80" i="7" s="1"/>
  <c r="J104" i="7"/>
  <c r="Q97" i="3"/>
  <c r="Q100" i="3" s="1"/>
  <c r="Q93" i="3"/>
  <c r="Q96" i="3" s="1"/>
  <c r="Q89" i="3"/>
  <c r="Q92" i="3" s="1"/>
  <c r="R30" i="3"/>
  <c r="Q32" i="3"/>
  <c r="Q34" i="3" s="1"/>
  <c r="Q53" i="3" s="1"/>
  <c r="O14" i="7"/>
  <c r="O59" i="7"/>
  <c r="O57" i="7" s="1"/>
  <c r="AD15" i="7"/>
  <c r="AD34" i="3"/>
  <c r="AD33" i="3"/>
  <c r="AD65" i="3" s="1"/>
  <c r="AD71" i="3" s="1"/>
  <c r="AD76" i="3"/>
  <c r="AE15" i="3"/>
  <c r="J19" i="7"/>
  <c r="J20" i="7" s="1"/>
  <c r="R43" i="3"/>
  <c r="F87" i="7"/>
  <c r="P14" i="7"/>
  <c r="P59" i="7"/>
  <c r="P57" i="7" s="1"/>
  <c r="G32" i="7"/>
  <c r="G33" i="7" s="1"/>
  <c r="G84" i="7" s="1"/>
  <c r="G85" i="7" s="1"/>
  <c r="R28" i="3"/>
  <c r="R31" i="3" s="1"/>
  <c r="R29" i="3"/>
  <c r="R27" i="3"/>
  <c r="S22" i="3"/>
  <c r="R75" i="7"/>
  <c r="J37" i="7"/>
  <c r="R73" i="7"/>
  <c r="R24" i="3"/>
  <c r="S19" i="3"/>
  <c r="R25" i="3"/>
  <c r="M23" i="12" l="1"/>
  <c r="K19" i="7"/>
  <c r="K23" i="7" s="1"/>
  <c r="R76" i="7"/>
  <c r="R80" i="7" s="1"/>
  <c r="P16" i="7"/>
  <c r="P26" i="7"/>
  <c r="J52" i="7"/>
  <c r="S27" i="3"/>
  <c r="S29" i="3"/>
  <c r="S28" i="3"/>
  <c r="S31" i="3" s="1"/>
  <c r="L29" i="7"/>
  <c r="K102" i="7"/>
  <c r="G21" i="7"/>
  <c r="G22" i="7" s="1"/>
  <c r="G93" i="7" s="1"/>
  <c r="G39" i="7"/>
  <c r="S43" i="3"/>
  <c r="J27" i="7"/>
  <c r="J28" i="7" s="1"/>
  <c r="J23" i="7"/>
  <c r="AD58" i="7"/>
  <c r="AD16" i="7"/>
  <c r="R32" i="3"/>
  <c r="R34" i="3" s="1"/>
  <c r="R53" i="3" s="1"/>
  <c r="W15" i="7"/>
  <c r="W58" i="7" s="1"/>
  <c r="W76" i="3"/>
  <c r="X14" i="3"/>
  <c r="Y14" i="3" s="1"/>
  <c r="M19" i="12"/>
  <c r="Q102" i="3"/>
  <c r="K37" i="7"/>
  <c r="H32" i="7"/>
  <c r="H33" i="7" s="1"/>
  <c r="H84" i="7" s="1"/>
  <c r="H85" i="7" s="1"/>
  <c r="S75" i="7"/>
  <c r="T22" i="3"/>
  <c r="S30" i="3"/>
  <c r="R93" i="3"/>
  <c r="R96" i="3" s="1"/>
  <c r="R97" i="3"/>
  <c r="R100" i="3" s="1"/>
  <c r="R89" i="3"/>
  <c r="R92" i="3" s="1"/>
  <c r="L17" i="7"/>
  <c r="L77" i="3"/>
  <c r="L79" i="3" s="1"/>
  <c r="L81" i="3" s="1"/>
  <c r="L82" i="3" s="1"/>
  <c r="L84" i="3" s="1"/>
  <c r="R33" i="3"/>
  <c r="O26" i="7"/>
  <c r="O16" i="7"/>
  <c r="E106" i="7"/>
  <c r="E108" i="7" s="1"/>
  <c r="F63" i="7"/>
  <c r="I48" i="7"/>
  <c r="H48" i="7"/>
  <c r="S73" i="7"/>
  <c r="S25" i="3"/>
  <c r="S24" i="3"/>
  <c r="T19" i="3"/>
  <c r="G87" i="7"/>
  <c r="AE34" i="3"/>
  <c r="AE15" i="7"/>
  <c r="AE33" i="3"/>
  <c r="AE65" i="3" s="1"/>
  <c r="AE71" i="3" s="1"/>
  <c r="AE76" i="3"/>
  <c r="AF15" i="3"/>
  <c r="Q65" i="3"/>
  <c r="Q71" i="3" s="1"/>
  <c r="Q41" i="3"/>
  <c r="Q8" i="7" s="1"/>
  <c r="Q12" i="7" s="1"/>
  <c r="F94" i="7"/>
  <c r="E53" i="7" s="1"/>
  <c r="Z14" i="3" l="1"/>
  <c r="Y15" i="7"/>
  <c r="Y76" i="3"/>
  <c r="J31" i="7"/>
  <c r="R102" i="3"/>
  <c r="K27" i="7"/>
  <c r="K28" i="7" s="1"/>
  <c r="K31" i="7" s="1"/>
  <c r="K20" i="7"/>
  <c r="K52" i="7" s="1"/>
  <c r="M20" i="12"/>
  <c r="S33" i="3"/>
  <c r="S41" i="3" s="1"/>
  <c r="S8" i="7" s="1"/>
  <c r="S12" i="7" s="1"/>
  <c r="S76" i="7"/>
  <c r="S80" i="7" s="1"/>
  <c r="H87" i="7"/>
  <c r="AF15" i="7"/>
  <c r="AF34" i="3"/>
  <c r="AF33" i="3"/>
  <c r="AF65" i="3" s="1"/>
  <c r="AF71" i="3" s="1"/>
  <c r="AF76" i="3"/>
  <c r="AG15" i="3"/>
  <c r="AE16" i="7"/>
  <c r="AE58" i="7"/>
  <c r="T30" i="3"/>
  <c r="S97" i="3"/>
  <c r="S100" i="3" s="1"/>
  <c r="S93" i="3"/>
  <c r="S96" i="3" s="1"/>
  <c r="S89" i="3"/>
  <c r="S92" i="3" s="1"/>
  <c r="I32" i="7"/>
  <c r="I21" i="7" s="1"/>
  <c r="I22" i="7" s="1"/>
  <c r="R41" i="3"/>
  <c r="R8" i="7" s="1"/>
  <c r="R12" i="7" s="1"/>
  <c r="R65" i="3"/>
  <c r="R71" i="3" s="1"/>
  <c r="S32" i="3"/>
  <c r="S34" i="3" s="1"/>
  <c r="S53" i="3" s="1"/>
  <c r="H21" i="7"/>
  <c r="H22" i="7" s="1"/>
  <c r="H93" i="7" s="1"/>
  <c r="H39" i="7"/>
  <c r="K104" i="7"/>
  <c r="K97" i="7"/>
  <c r="K99" i="7" s="1"/>
  <c r="F64" i="7"/>
  <c r="F65" i="7" s="1"/>
  <c r="M17" i="7"/>
  <c r="M77" i="3"/>
  <c r="M79" i="3" s="1"/>
  <c r="M81" i="3" s="1"/>
  <c r="M82" i="3" s="1"/>
  <c r="M84" i="3" s="1"/>
  <c r="F106" i="7"/>
  <c r="F108" i="7" s="1"/>
  <c r="G63" i="7"/>
  <c r="T73" i="7"/>
  <c r="T24" i="3"/>
  <c r="T25" i="3"/>
  <c r="U19" i="3"/>
  <c r="G94" i="7"/>
  <c r="F53" i="7" s="1"/>
  <c r="T27" i="3"/>
  <c r="T29" i="3"/>
  <c r="T28" i="3"/>
  <c r="T31" i="3" s="1"/>
  <c r="X15" i="7"/>
  <c r="X58" i="7" s="1"/>
  <c r="X76" i="3"/>
  <c r="T43" i="3"/>
  <c r="Q14" i="7"/>
  <c r="Q59" i="7"/>
  <c r="Q57" i="7" s="1"/>
  <c r="L38" i="7"/>
  <c r="L30" i="7"/>
  <c r="L18" i="7"/>
  <c r="T75" i="7"/>
  <c r="U22" i="3"/>
  <c r="Y16" i="7" l="1"/>
  <c r="Y58" i="7"/>
  <c r="AA14" i="3"/>
  <c r="Z76" i="3"/>
  <c r="Z15" i="7"/>
  <c r="S65" i="3"/>
  <c r="S71" i="3" s="1"/>
  <c r="M29" i="7"/>
  <c r="M21" i="12"/>
  <c r="N19" i="12" s="1"/>
  <c r="L102" i="7"/>
  <c r="L97" i="7" s="1"/>
  <c r="L99" i="7" s="1"/>
  <c r="I39" i="7"/>
  <c r="I33" i="7"/>
  <c r="I84" i="7" s="1"/>
  <c r="I85" i="7" s="1"/>
  <c r="I87" i="7" s="1"/>
  <c r="U73" i="7"/>
  <c r="U24" i="3"/>
  <c r="V19" i="3"/>
  <c r="U25" i="3"/>
  <c r="T33" i="3"/>
  <c r="G106" i="7"/>
  <c r="G108" i="7" s="1"/>
  <c r="H63" i="7"/>
  <c r="U30" i="3"/>
  <c r="T93" i="3"/>
  <c r="T96" i="3" s="1"/>
  <c r="T97" i="3"/>
  <c r="T100" i="3" s="1"/>
  <c r="T89" i="3"/>
  <c r="T92" i="3" s="1"/>
  <c r="G64" i="7"/>
  <c r="G65" i="7" s="1"/>
  <c r="S102" i="3"/>
  <c r="L104" i="7"/>
  <c r="L19" i="7"/>
  <c r="I93" i="7"/>
  <c r="H94" i="7"/>
  <c r="S14" i="7"/>
  <c r="S59" i="7"/>
  <c r="S57" i="7" s="1"/>
  <c r="U27" i="3"/>
  <c r="U28" i="3"/>
  <c r="U31" i="3" s="1"/>
  <c r="U29" i="3"/>
  <c r="J47" i="7"/>
  <c r="J48" i="7" s="1"/>
  <c r="V22" i="3"/>
  <c r="U75" i="7"/>
  <c r="L37" i="7"/>
  <c r="Q16" i="7"/>
  <c r="Q26" i="7"/>
  <c r="K32" i="7"/>
  <c r="K21" i="7" s="1"/>
  <c r="K22" i="7" s="1"/>
  <c r="T76" i="7"/>
  <c r="T80" i="7" s="1"/>
  <c r="M38" i="7"/>
  <c r="M30" i="7"/>
  <c r="M18" i="7"/>
  <c r="R14" i="7"/>
  <c r="R59" i="7"/>
  <c r="R57" i="7" s="1"/>
  <c r="AG34" i="3"/>
  <c r="AG15" i="7"/>
  <c r="AG33" i="3"/>
  <c r="AG65" i="3" s="1"/>
  <c r="AG71" i="3" s="1"/>
  <c r="AG76" i="3"/>
  <c r="AH15" i="3"/>
  <c r="U43" i="3"/>
  <c r="T32" i="3"/>
  <c r="T34" i="3" s="1"/>
  <c r="T53" i="3" s="1"/>
  <c r="AF58" i="7"/>
  <c r="AF16" i="7"/>
  <c r="Z16" i="7" l="1"/>
  <c r="Z58" i="7"/>
  <c r="AB14" i="3"/>
  <c r="AA15" i="7"/>
  <c r="AA76" i="3"/>
  <c r="N20" i="12"/>
  <c r="N21" i="12" s="1"/>
  <c r="N23" i="12"/>
  <c r="T102" i="3"/>
  <c r="L27" i="7"/>
  <c r="L28" i="7" s="1"/>
  <c r="L23" i="7"/>
  <c r="H64" i="7"/>
  <c r="H65" i="7" s="1"/>
  <c r="U33" i="3"/>
  <c r="S26" i="7"/>
  <c r="S16" i="7"/>
  <c r="L20" i="7"/>
  <c r="N17" i="7"/>
  <c r="N77" i="3"/>
  <c r="N79" i="3" s="1"/>
  <c r="N81" i="3" s="1"/>
  <c r="N82" i="3" s="1"/>
  <c r="N84" i="3" s="1"/>
  <c r="V27" i="3"/>
  <c r="V29" i="3"/>
  <c r="V28" i="3"/>
  <c r="V31" i="3" s="1"/>
  <c r="AH15" i="7"/>
  <c r="AH34" i="3"/>
  <c r="AH33" i="3"/>
  <c r="AH65" i="3" s="1"/>
  <c r="AH71" i="3" s="1"/>
  <c r="AH76" i="3"/>
  <c r="AI15" i="3"/>
  <c r="J32" i="7"/>
  <c r="J33" i="7" s="1"/>
  <c r="J84" i="7" s="1"/>
  <c r="J85" i="7" s="1"/>
  <c r="H106" i="7"/>
  <c r="H108" i="7" s="1"/>
  <c r="I63" i="7"/>
  <c r="G53" i="7"/>
  <c r="T41" i="3"/>
  <c r="T8" i="7" s="1"/>
  <c r="T12" i="7" s="1"/>
  <c r="T65" i="3"/>
  <c r="T71" i="3" s="1"/>
  <c r="U76" i="7"/>
  <c r="U80" i="7" s="1"/>
  <c r="V43" i="3"/>
  <c r="AG58" i="7"/>
  <c r="AG16" i="7"/>
  <c r="R16" i="7"/>
  <c r="R26" i="7"/>
  <c r="M19" i="7"/>
  <c r="M20" i="7" s="1"/>
  <c r="K33" i="7"/>
  <c r="K47" i="7"/>
  <c r="I94" i="7"/>
  <c r="U32" i="3"/>
  <c r="U34" i="3" s="1"/>
  <c r="U53" i="3" s="1"/>
  <c r="V30" i="3"/>
  <c r="U93" i="3"/>
  <c r="U96" i="3" s="1"/>
  <c r="U89" i="3"/>
  <c r="U92" i="3" s="1"/>
  <c r="U97" i="3"/>
  <c r="U100" i="3" s="1"/>
  <c r="M37" i="7"/>
  <c r="V75" i="7"/>
  <c r="W22" i="3"/>
  <c r="V73" i="7"/>
  <c r="V25" i="3"/>
  <c r="V24" i="3"/>
  <c r="W19" i="3"/>
  <c r="AA58" i="7" l="1"/>
  <c r="AA16" i="7"/>
  <c r="AC14" i="3"/>
  <c r="AB15" i="7"/>
  <c r="AB76" i="3"/>
  <c r="L31" i="7"/>
  <c r="V76" i="7"/>
  <c r="V80" i="7" s="1"/>
  <c r="N29" i="7"/>
  <c r="O23" i="12"/>
  <c r="M102" i="7"/>
  <c r="M104" i="7" s="1"/>
  <c r="U102" i="3"/>
  <c r="K84" i="7"/>
  <c r="K85" i="7" s="1"/>
  <c r="J87" i="7"/>
  <c r="W73" i="7"/>
  <c r="W24" i="3"/>
  <c r="X19" i="3"/>
  <c r="Y19" i="3" s="1"/>
  <c r="W25" i="3"/>
  <c r="I106" i="7"/>
  <c r="I108" i="7" s="1"/>
  <c r="J63" i="7"/>
  <c r="M27" i="7"/>
  <c r="M28" i="7" s="1"/>
  <c r="M31" i="7" s="1"/>
  <c r="M23" i="7"/>
  <c r="W43" i="3"/>
  <c r="T59" i="7"/>
  <c r="T57" i="7" s="1"/>
  <c r="T14" i="7"/>
  <c r="AH58" i="7"/>
  <c r="AH16" i="7"/>
  <c r="M52" i="7"/>
  <c r="J21" i="7"/>
  <c r="J22" i="7" s="1"/>
  <c r="K39" i="7"/>
  <c r="J39" i="7"/>
  <c r="W27" i="3"/>
  <c r="W29" i="3"/>
  <c r="W28" i="3"/>
  <c r="W31" i="3" s="1"/>
  <c r="W30" i="3"/>
  <c r="V89" i="3"/>
  <c r="V92" i="3" s="1"/>
  <c r="V93" i="3"/>
  <c r="V96" i="3" s="1"/>
  <c r="V97" i="3"/>
  <c r="V100" i="3" s="1"/>
  <c r="X22" i="3"/>
  <c r="Y22" i="3" s="1"/>
  <c r="W75" i="7"/>
  <c r="H53" i="7"/>
  <c r="K48" i="7"/>
  <c r="O19" i="12"/>
  <c r="I64" i="7"/>
  <c r="I65" i="7" s="1"/>
  <c r="V33" i="3"/>
  <c r="N38" i="7"/>
  <c r="N30" i="7"/>
  <c r="N18" i="7"/>
  <c r="U65" i="3"/>
  <c r="U71" i="3" s="1"/>
  <c r="U41" i="3"/>
  <c r="U8" i="7" s="1"/>
  <c r="U12" i="7" s="1"/>
  <c r="V32" i="3"/>
  <c r="V34" i="3" s="1"/>
  <c r="V53" i="3" s="1"/>
  <c r="AI15" i="7"/>
  <c r="AI34" i="3"/>
  <c r="AI33" i="3"/>
  <c r="AI65" i="3" s="1"/>
  <c r="AI71" i="3" s="1"/>
  <c r="AI76" i="3"/>
  <c r="AJ15" i="3"/>
  <c r="L52" i="7"/>
  <c r="Z22" i="3" l="1"/>
  <c r="Y75" i="7"/>
  <c r="AC76" i="3"/>
  <c r="AC15" i="7"/>
  <c r="Y73" i="7"/>
  <c r="Z19" i="3"/>
  <c r="Y25" i="3"/>
  <c r="Y24" i="3"/>
  <c r="AB58" i="7"/>
  <c r="AB16" i="7"/>
  <c r="M97" i="7"/>
  <c r="M99" i="7" s="1"/>
  <c r="O20" i="12"/>
  <c r="N102" i="7" s="1"/>
  <c r="V102" i="3"/>
  <c r="W33" i="3"/>
  <c r="X29" i="3"/>
  <c r="X27" i="3"/>
  <c r="X28" i="3"/>
  <c r="X31" i="3" s="1"/>
  <c r="AJ34" i="3"/>
  <c r="AJ15" i="7"/>
  <c r="AJ33" i="3"/>
  <c r="AJ65" i="3" s="1"/>
  <c r="AJ71" i="3" s="1"/>
  <c r="AJ76" i="3"/>
  <c r="AK15" i="3"/>
  <c r="V65" i="3"/>
  <c r="V71" i="3" s="1"/>
  <c r="V41" i="3"/>
  <c r="V8" i="7" s="1"/>
  <c r="V12" i="7" s="1"/>
  <c r="W32" i="3"/>
  <c r="W34" i="3" s="1"/>
  <c r="W53" i="3" s="1"/>
  <c r="J93" i="7"/>
  <c r="X43" i="3"/>
  <c r="W93" i="3"/>
  <c r="W96" i="3" s="1"/>
  <c r="X30" i="3"/>
  <c r="W97" i="3"/>
  <c r="W100" i="3" s="1"/>
  <c r="W89" i="3"/>
  <c r="W92" i="3" s="1"/>
  <c r="W76" i="7"/>
  <c r="W80" i="7" s="1"/>
  <c r="AI58" i="7"/>
  <c r="AI16" i="7"/>
  <c r="N19" i="7"/>
  <c r="N20" i="7" s="1"/>
  <c r="O17" i="7"/>
  <c r="O77" i="3"/>
  <c r="O79" i="3" s="1"/>
  <c r="O81" i="3" s="1"/>
  <c r="O82" i="3" s="1"/>
  <c r="O84" i="3" s="1"/>
  <c r="X75" i="7"/>
  <c r="T26" i="7"/>
  <c r="T16" i="7"/>
  <c r="X24" i="3"/>
  <c r="X73" i="7"/>
  <c r="X25" i="3"/>
  <c r="Y30" i="3" s="1"/>
  <c r="U14" i="7"/>
  <c r="U59" i="7"/>
  <c r="U57" i="7" s="1"/>
  <c r="N37" i="7"/>
  <c r="L47" i="7"/>
  <c r="J64" i="7"/>
  <c r="J65" i="7" s="1"/>
  <c r="K87" i="7"/>
  <c r="Y76" i="7" l="1"/>
  <c r="Y80" i="7" s="1"/>
  <c r="Z30" i="3"/>
  <c r="Y97" i="3"/>
  <c r="Y100" i="3" s="1"/>
  <c r="Y93" i="3"/>
  <c r="Y96" i="3" s="1"/>
  <c r="Y89" i="3"/>
  <c r="Y92" i="3" s="1"/>
  <c r="AC16" i="7"/>
  <c r="AC58" i="7"/>
  <c r="Z73" i="7"/>
  <c r="AA19" i="3"/>
  <c r="Z25" i="3"/>
  <c r="Z24" i="3"/>
  <c r="Y43" i="3"/>
  <c r="Z75" i="7"/>
  <c r="AA22" i="3"/>
  <c r="Y28" i="3"/>
  <c r="Y31" i="3" s="1"/>
  <c r="Y27" i="3"/>
  <c r="Y32" i="3" s="1"/>
  <c r="Y34" i="3" s="1"/>
  <c r="Y29" i="3"/>
  <c r="Z27" i="3"/>
  <c r="Z28" i="3"/>
  <c r="Z31" i="3" s="1"/>
  <c r="Z29" i="3"/>
  <c r="X76" i="7"/>
  <c r="X80" i="7" s="1"/>
  <c r="O21" i="12"/>
  <c r="P19" i="12" s="1"/>
  <c r="P17" i="7" s="1"/>
  <c r="P23" i="12"/>
  <c r="O29" i="7"/>
  <c r="M47" i="7"/>
  <c r="M48" i="7" s="1"/>
  <c r="O38" i="7"/>
  <c r="O30" i="7"/>
  <c r="O18" i="7"/>
  <c r="L32" i="7"/>
  <c r="X32" i="3"/>
  <c r="X34" i="3" s="1"/>
  <c r="X53" i="3" s="1"/>
  <c r="AK34" i="3"/>
  <c r="AK15" i="7"/>
  <c r="AK33" i="3"/>
  <c r="AK65" i="3" s="1"/>
  <c r="AK71" i="3" s="1"/>
  <c r="AK76" i="3"/>
  <c r="AL15" i="3"/>
  <c r="AJ16" i="7"/>
  <c r="AJ58" i="7"/>
  <c r="W41" i="3"/>
  <c r="W8" i="7" s="1"/>
  <c r="W12" i="7" s="1"/>
  <c r="W65" i="3"/>
  <c r="W71" i="3" s="1"/>
  <c r="U26" i="7"/>
  <c r="U16" i="7"/>
  <c r="X97" i="3"/>
  <c r="X100" i="3" s="1"/>
  <c r="X93" i="3"/>
  <c r="X96" i="3" s="1"/>
  <c r="X89" i="3"/>
  <c r="X92" i="3" s="1"/>
  <c r="X33" i="3"/>
  <c r="N104" i="7"/>
  <c r="N97" i="7"/>
  <c r="N99" i="7" s="1"/>
  <c r="N27" i="7"/>
  <c r="N28" i="7" s="1"/>
  <c r="N23" i="7"/>
  <c r="W102" i="3"/>
  <c r="K93" i="7"/>
  <c r="J94" i="7"/>
  <c r="N52" i="7"/>
  <c r="L48" i="7"/>
  <c r="V59" i="7"/>
  <c r="V57" i="7" s="1"/>
  <c r="V14" i="7"/>
  <c r="Z76" i="7" l="1"/>
  <c r="Z80" i="7" s="1"/>
  <c r="Y33" i="3"/>
  <c r="AA27" i="3"/>
  <c r="AA28" i="3"/>
  <c r="AA31" i="3" s="1"/>
  <c r="AA29" i="3"/>
  <c r="Z33" i="3"/>
  <c r="AA30" i="3"/>
  <c r="Z89" i="3"/>
  <c r="Z92" i="3" s="1"/>
  <c r="Z97" i="3"/>
  <c r="Z100" i="3" s="1"/>
  <c r="Z93" i="3"/>
  <c r="Z96" i="3" s="1"/>
  <c r="AA73" i="7"/>
  <c r="AB19" i="3"/>
  <c r="AA25" i="3"/>
  <c r="AA24" i="3"/>
  <c r="Z32" i="3"/>
  <c r="Z34" i="3" s="1"/>
  <c r="Z43" i="3"/>
  <c r="AB22" i="3"/>
  <c r="AA75" i="7"/>
  <c r="Y102" i="3"/>
  <c r="N31" i="7"/>
  <c r="P77" i="3"/>
  <c r="P79" i="3" s="1"/>
  <c r="P81" i="3" s="1"/>
  <c r="P82" i="3" s="1"/>
  <c r="P84" i="3" s="1"/>
  <c r="P20" i="12"/>
  <c r="P30" i="7"/>
  <c r="P38" i="7"/>
  <c r="P18" i="7"/>
  <c r="K94" i="7"/>
  <c r="J53" i="7" s="1"/>
  <c r="N47" i="7"/>
  <c r="X102" i="3"/>
  <c r="O19" i="7"/>
  <c r="O20" i="7" s="1"/>
  <c r="AK16" i="7"/>
  <c r="AK58" i="7"/>
  <c r="L21" i="7"/>
  <c r="L22" i="7" s="1"/>
  <c r="L93" i="7" s="1"/>
  <c r="L39" i="7"/>
  <c r="O37" i="7"/>
  <c r="V16" i="7"/>
  <c r="V26" i="7"/>
  <c r="M32" i="7"/>
  <c r="M21" i="7" s="1"/>
  <c r="M22" i="7" s="1"/>
  <c r="X65" i="3"/>
  <c r="X71" i="3" s="1"/>
  <c r="X41" i="3"/>
  <c r="X8" i="7" s="1"/>
  <c r="X12" i="7" s="1"/>
  <c r="W59" i="7"/>
  <c r="W57" i="7" s="1"/>
  <c r="W14" i="7"/>
  <c r="AL34" i="3"/>
  <c r="AL15" i="7"/>
  <c r="AL33" i="3"/>
  <c r="AL65" i="3" s="1"/>
  <c r="AL71" i="3" s="1"/>
  <c r="AL76" i="3"/>
  <c r="AM15" i="3"/>
  <c r="L33" i="7"/>
  <c r="L84" i="7" s="1"/>
  <c r="L85" i="7" s="1"/>
  <c r="J106" i="7"/>
  <c r="J108" i="7" s="1"/>
  <c r="K63" i="7"/>
  <c r="I53" i="7"/>
  <c r="AA76" i="7" l="1"/>
  <c r="AA80" i="7" s="1"/>
  <c r="AC19" i="3"/>
  <c r="AB73" i="7"/>
  <c r="AB25" i="3"/>
  <c r="AB24" i="3"/>
  <c r="Z102" i="3"/>
  <c r="AA33" i="3"/>
  <c r="AB27" i="3"/>
  <c r="AB28" i="3"/>
  <c r="AB31" i="3" s="1"/>
  <c r="AB29" i="3"/>
  <c r="AC22" i="3"/>
  <c r="AB75" i="7"/>
  <c r="AA32" i="3"/>
  <c r="AA34" i="3" s="1"/>
  <c r="AB30" i="3"/>
  <c r="AA89" i="3"/>
  <c r="AA92" i="3" s="1"/>
  <c r="AA97" i="3"/>
  <c r="AA100" i="3" s="1"/>
  <c r="AA93" i="3"/>
  <c r="AA96" i="3" s="1"/>
  <c r="AA43" i="3"/>
  <c r="Z65" i="3"/>
  <c r="Z71" i="3" s="1"/>
  <c r="Y65" i="3"/>
  <c r="Y71" i="3" s="1"/>
  <c r="P21" i="12"/>
  <c r="Q19" i="12" s="1"/>
  <c r="Q20" i="12" s="1"/>
  <c r="Q23" i="12"/>
  <c r="O102" i="7"/>
  <c r="P29" i="7"/>
  <c r="P37" i="7" s="1"/>
  <c r="M39" i="7"/>
  <c r="M33" i="7"/>
  <c r="M84" i="7" s="1"/>
  <c r="M85" i="7" s="1"/>
  <c r="M93" i="7"/>
  <c r="L94" i="7"/>
  <c r="K53" i="7" s="1"/>
  <c r="O52" i="7"/>
  <c r="AL58" i="7"/>
  <c r="AL16" i="7"/>
  <c r="L87" i="7"/>
  <c r="X59" i="7"/>
  <c r="X57" i="7" s="1"/>
  <c r="X14" i="7"/>
  <c r="K106" i="7"/>
  <c r="K108" i="7" s="1"/>
  <c r="L63" i="7"/>
  <c r="AM34" i="3"/>
  <c r="AM15" i="7"/>
  <c r="AM33" i="3"/>
  <c r="AM65" i="3" s="1"/>
  <c r="AM71" i="3" s="1"/>
  <c r="AM76" i="3"/>
  <c r="AN15" i="3"/>
  <c r="K64" i="7"/>
  <c r="K65" i="7" s="1"/>
  <c r="N48" i="7"/>
  <c r="W26" i="7"/>
  <c r="W16" i="7"/>
  <c r="O27" i="7"/>
  <c r="O28" i="7" s="1"/>
  <c r="O23" i="7"/>
  <c r="P19" i="7"/>
  <c r="P20" i="7" s="1"/>
  <c r="AA102" i="3" l="1"/>
  <c r="AB32" i="3"/>
  <c r="AB34" i="3" s="1"/>
  <c r="AB76" i="7"/>
  <c r="AB80" i="7" s="1"/>
  <c r="AB33" i="3"/>
  <c r="AC30" i="3"/>
  <c r="AB97" i="3"/>
  <c r="AB100" i="3" s="1"/>
  <c r="AB93" i="3"/>
  <c r="AB96" i="3" s="1"/>
  <c r="AB89" i="3"/>
  <c r="AB92" i="3" s="1"/>
  <c r="AC75" i="7"/>
  <c r="AC73" i="7"/>
  <c r="AC25" i="3"/>
  <c r="AC24" i="3"/>
  <c r="AB43" i="3"/>
  <c r="AA65" i="3"/>
  <c r="AA71" i="3" s="1"/>
  <c r="AC27" i="3"/>
  <c r="AC29" i="3"/>
  <c r="AC28" i="3"/>
  <c r="AC31" i="3" s="1"/>
  <c r="O31" i="7"/>
  <c r="Q77" i="3"/>
  <c r="Q79" i="3" s="1"/>
  <c r="Q81" i="3" s="1"/>
  <c r="Q82" i="3" s="1"/>
  <c r="Q84" i="3" s="1"/>
  <c r="O97" i="7"/>
  <c r="O99" i="7" s="1"/>
  <c r="O104" i="7"/>
  <c r="Q17" i="7"/>
  <c r="Q38" i="7" s="1"/>
  <c r="R23" i="12"/>
  <c r="Q29" i="7"/>
  <c r="P102" i="7"/>
  <c r="P104" i="7" s="1"/>
  <c r="Q21" i="12"/>
  <c r="R19" i="12" s="1"/>
  <c r="P27" i="7"/>
  <c r="P28" i="7" s="1"/>
  <c r="P31" i="7" s="1"/>
  <c r="P23" i="7"/>
  <c r="AN15" i="7"/>
  <c r="AN34" i="3"/>
  <c r="AN33" i="3"/>
  <c r="AN65" i="3" s="1"/>
  <c r="AN71" i="3" s="1"/>
  <c r="AN76" i="3"/>
  <c r="AO15" i="3"/>
  <c r="N32" i="7"/>
  <c r="N33" i="7" s="1"/>
  <c r="N84" i="7" s="1"/>
  <c r="N85" i="7" s="1"/>
  <c r="P52" i="7"/>
  <c r="L64" i="7"/>
  <c r="L65" i="7" s="1"/>
  <c r="M87" i="7"/>
  <c r="L106" i="7"/>
  <c r="L108" i="7" s="1"/>
  <c r="M63" i="7"/>
  <c r="AM58" i="7"/>
  <c r="AM16" i="7"/>
  <c r="X16" i="7"/>
  <c r="X26" i="7"/>
  <c r="M94" i="7"/>
  <c r="AB102" i="3" l="1"/>
  <c r="AC32" i="3"/>
  <c r="AC34" i="3" s="1"/>
  <c r="AB65" i="3"/>
  <c r="AB71" i="3" s="1"/>
  <c r="AC97" i="3"/>
  <c r="AC100" i="3" s="1"/>
  <c r="AC89" i="3"/>
  <c r="AC92" i="3" s="1"/>
  <c r="AC93" i="3"/>
  <c r="AC96" i="3" s="1"/>
  <c r="AC33" i="3"/>
  <c r="AC43" i="3"/>
  <c r="AC76" i="7"/>
  <c r="AC80" i="7" s="1"/>
  <c r="Q30" i="7"/>
  <c r="Q37" i="7" s="1"/>
  <c r="Q18" i="7"/>
  <c r="Q19" i="7" s="1"/>
  <c r="Q20" i="7" s="1"/>
  <c r="R20" i="12"/>
  <c r="R77" i="3"/>
  <c r="R79" i="3" s="1"/>
  <c r="R81" i="3" s="1"/>
  <c r="R82" i="3" s="1"/>
  <c r="R84" i="3" s="1"/>
  <c r="R17" i="7"/>
  <c r="R30" i="7" s="1"/>
  <c r="P97" i="7"/>
  <c r="P99" i="7" s="1"/>
  <c r="N87" i="7"/>
  <c r="M64" i="7"/>
  <c r="M65" i="7" s="1"/>
  <c r="O47" i="7"/>
  <c r="AO15" i="7"/>
  <c r="AO34" i="3"/>
  <c r="AO33" i="3"/>
  <c r="AO65" i="3" s="1"/>
  <c r="AO71" i="3" s="1"/>
  <c r="AO76" i="3"/>
  <c r="AP15" i="3"/>
  <c r="M106" i="7"/>
  <c r="M108" i="7" s="1"/>
  <c r="N63" i="7"/>
  <c r="L53" i="7"/>
  <c r="AN58" i="7"/>
  <c r="AN16" i="7"/>
  <c r="N21" i="7"/>
  <c r="N22" i="7" s="1"/>
  <c r="N39" i="7"/>
  <c r="AC65" i="3" l="1"/>
  <c r="AC71" i="3" s="1"/>
  <c r="AC102" i="3"/>
  <c r="R18" i="7"/>
  <c r="R19" i="7" s="1"/>
  <c r="R20" i="7" s="1"/>
  <c r="R38" i="7"/>
  <c r="S23" i="12"/>
  <c r="R29" i="7"/>
  <c r="R37" i="7" s="1"/>
  <c r="Q102" i="7"/>
  <c r="R21" i="12"/>
  <c r="S19" i="12" s="1"/>
  <c r="S17" i="7" s="1"/>
  <c r="N93" i="7"/>
  <c r="P47" i="7"/>
  <c r="Q27" i="7"/>
  <c r="Q28" i="7" s="1"/>
  <c r="Q31" i="7" s="1"/>
  <c r="Q23" i="7"/>
  <c r="O32" i="7"/>
  <c r="Q52" i="7"/>
  <c r="AP34" i="3"/>
  <c r="AP15" i="7"/>
  <c r="AP33" i="3"/>
  <c r="AP65" i="3" s="1"/>
  <c r="AP71" i="3" s="1"/>
  <c r="AP76" i="3"/>
  <c r="AQ15" i="3"/>
  <c r="O48" i="7"/>
  <c r="N64" i="7"/>
  <c r="N65" i="7" s="1"/>
  <c r="AO58" i="7"/>
  <c r="AO16" i="7"/>
  <c r="S20" i="12" l="1"/>
  <c r="S77" i="3"/>
  <c r="S79" i="3" s="1"/>
  <c r="S81" i="3" s="1"/>
  <c r="S82" i="3" s="1"/>
  <c r="S84" i="3" s="1"/>
  <c r="Q97" i="7"/>
  <c r="Q99" i="7" s="1"/>
  <c r="Q104" i="7"/>
  <c r="R27" i="7"/>
  <c r="R28" i="7" s="1"/>
  <c r="R31" i="7" s="1"/>
  <c r="R23" i="7"/>
  <c r="Q47" i="7"/>
  <c r="P32" i="7"/>
  <c r="P21" i="7" s="1"/>
  <c r="P22" i="7" s="1"/>
  <c r="O21" i="7"/>
  <c r="O22" i="7" s="1"/>
  <c r="O93" i="7" s="1"/>
  <c r="O39" i="7"/>
  <c r="R52" i="7"/>
  <c r="S38" i="7"/>
  <c r="S30" i="7"/>
  <c r="S18" i="7"/>
  <c r="AQ34" i="3"/>
  <c r="AQ15" i="7"/>
  <c r="AQ33" i="3"/>
  <c r="AQ65" i="3" s="1"/>
  <c r="AQ71" i="3" s="1"/>
  <c r="AQ76" i="3"/>
  <c r="AR15" i="3"/>
  <c r="AP58" i="7"/>
  <c r="AP16" i="7"/>
  <c r="P48" i="7"/>
  <c r="O33" i="7"/>
  <c r="O84" i="7" s="1"/>
  <c r="O85" i="7" s="1"/>
  <c r="N94" i="7"/>
  <c r="S21" i="12" l="1"/>
  <c r="T19" i="12" s="1"/>
  <c r="S29" i="7"/>
  <c r="S37" i="7" s="1"/>
  <c r="T23" i="12"/>
  <c r="R102" i="7"/>
  <c r="P39" i="7"/>
  <c r="S19" i="7"/>
  <c r="S20" i="7" s="1"/>
  <c r="Q48" i="7"/>
  <c r="O87" i="7"/>
  <c r="R47" i="7"/>
  <c r="AR15" i="7"/>
  <c r="AR34" i="3"/>
  <c r="AR33" i="3"/>
  <c r="AR65" i="3" s="1"/>
  <c r="AR71" i="3" s="1"/>
  <c r="E67" i="3" s="1"/>
  <c r="E30" i="9" s="1"/>
  <c r="I30" i="9" s="1"/>
  <c r="AR76" i="3"/>
  <c r="AQ58" i="7"/>
  <c r="AQ16" i="7"/>
  <c r="P33" i="7"/>
  <c r="P84" i="7" s="1"/>
  <c r="P85" i="7" s="1"/>
  <c r="N106" i="7"/>
  <c r="N108" i="7" s="1"/>
  <c r="O63" i="7"/>
  <c r="M53" i="7"/>
  <c r="P93" i="7"/>
  <c r="O94" i="7"/>
  <c r="T77" i="3" l="1"/>
  <c r="T79" i="3" s="1"/>
  <c r="T81" i="3" s="1"/>
  <c r="T82" i="3" s="1"/>
  <c r="T84" i="3" s="1"/>
  <c r="T17" i="7"/>
  <c r="T38" i="7" s="1"/>
  <c r="T20" i="12"/>
  <c r="R104" i="7"/>
  <c r="R97" i="7"/>
  <c r="R99" i="7" s="1"/>
  <c r="P87" i="7"/>
  <c r="S52" i="7"/>
  <c r="P94" i="7"/>
  <c r="N53" i="7"/>
  <c r="AR58" i="7"/>
  <c r="AR16" i="7"/>
  <c r="Q32" i="7"/>
  <c r="O106" i="7"/>
  <c r="O108" i="7" s="1"/>
  <c r="P63" i="7"/>
  <c r="O64" i="7"/>
  <c r="O65" i="7" s="1"/>
  <c r="R48" i="7"/>
  <c r="S27" i="7"/>
  <c r="S28" i="7" s="1"/>
  <c r="S31" i="7" s="1"/>
  <c r="S23" i="7"/>
  <c r="T18" i="7" l="1"/>
  <c r="T19" i="7" s="1"/>
  <c r="T20" i="7" s="1"/>
  <c r="T52" i="7" s="1"/>
  <c r="T30" i="7"/>
  <c r="U23" i="12"/>
  <c r="T29" i="7"/>
  <c r="S102" i="7"/>
  <c r="T21" i="12"/>
  <c r="U19" i="12" s="1"/>
  <c r="U77" i="3" s="1"/>
  <c r="U79" i="3" s="1"/>
  <c r="U81" i="3" s="1"/>
  <c r="U82" i="3" s="1"/>
  <c r="U84" i="3" s="1"/>
  <c r="P64" i="7"/>
  <c r="P65" i="7" s="1"/>
  <c r="Q21" i="7"/>
  <c r="Q22" i="7" s="1"/>
  <c r="Q39" i="7"/>
  <c r="P106" i="7"/>
  <c r="P108" i="7" s="1"/>
  <c r="Q63" i="7"/>
  <c r="R32" i="7"/>
  <c r="R21" i="7" s="1"/>
  <c r="R22" i="7" s="1"/>
  <c r="Q33" i="7"/>
  <c r="Q84" i="7" s="1"/>
  <c r="Q85" i="7" s="1"/>
  <c r="O53" i="7"/>
  <c r="T37" i="7" l="1"/>
  <c r="T23" i="7"/>
  <c r="T27" i="7"/>
  <c r="T28" i="7" s="1"/>
  <c r="T31" i="7" s="1"/>
  <c r="U17" i="7"/>
  <c r="U30" i="7" s="1"/>
  <c r="S104" i="7"/>
  <c r="S97" i="7"/>
  <c r="S99" i="7" s="1"/>
  <c r="U20" i="12"/>
  <c r="R33" i="7"/>
  <c r="R84" i="7" s="1"/>
  <c r="R85" i="7" s="1"/>
  <c r="R39" i="7"/>
  <c r="Q87" i="7"/>
  <c r="Q93" i="7"/>
  <c r="S47" i="7"/>
  <c r="S48" i="7" s="1"/>
  <c r="Q64" i="7"/>
  <c r="Q65" i="7" s="1"/>
  <c r="U18" i="7" l="1"/>
  <c r="U19" i="7" s="1"/>
  <c r="U23" i="7" s="1"/>
  <c r="U38" i="7"/>
  <c r="U29" i="7"/>
  <c r="U37" i="7" s="1"/>
  <c r="T102" i="7"/>
  <c r="U21" i="12"/>
  <c r="V19" i="12" s="1"/>
  <c r="V23" i="12"/>
  <c r="T47" i="7"/>
  <c r="T48" i="7" s="1"/>
  <c r="S32" i="7"/>
  <c r="S33" i="7" s="1"/>
  <c r="S84" i="7" s="1"/>
  <c r="S85" i="7" s="1"/>
  <c r="R87" i="7"/>
  <c r="R93" i="7"/>
  <c r="Q94" i="7"/>
  <c r="U20" i="7" l="1"/>
  <c r="U52" i="7" s="1"/>
  <c r="U27" i="7"/>
  <c r="U28" i="7" s="1"/>
  <c r="U31" i="7" s="1"/>
  <c r="V77" i="3"/>
  <c r="V79" i="3" s="1"/>
  <c r="V81" i="3" s="1"/>
  <c r="V82" i="3" s="1"/>
  <c r="V84" i="3" s="1"/>
  <c r="V20" i="12"/>
  <c r="V17" i="7"/>
  <c r="T104" i="7"/>
  <c r="T97" i="7"/>
  <c r="T99" i="7" s="1"/>
  <c r="S87" i="7"/>
  <c r="R94" i="7"/>
  <c r="Q53" i="7" s="1"/>
  <c r="T32" i="7"/>
  <c r="T21" i="7" s="1"/>
  <c r="T22" i="7" s="1"/>
  <c r="Q106" i="7"/>
  <c r="Q108" i="7" s="1"/>
  <c r="R63" i="7"/>
  <c r="P53" i="7"/>
  <c r="S21" i="7"/>
  <c r="S22" i="7" s="1"/>
  <c r="S39" i="7"/>
  <c r="T39" i="7" l="1"/>
  <c r="V38" i="7"/>
  <c r="V30" i="7"/>
  <c r="V18" i="7"/>
  <c r="V19" i="7" s="1"/>
  <c r="V20" i="7" s="1"/>
  <c r="V52" i="7" s="1"/>
  <c r="W23" i="12"/>
  <c r="V21" i="12"/>
  <c r="W19" i="12" s="1"/>
  <c r="W20" i="12" s="1"/>
  <c r="V29" i="7"/>
  <c r="U102" i="7"/>
  <c r="T33" i="7"/>
  <c r="T84" i="7" s="1"/>
  <c r="T85" i="7" s="1"/>
  <c r="R64" i="7"/>
  <c r="R65" i="7" s="1"/>
  <c r="R106" i="7"/>
  <c r="R108" i="7" s="1"/>
  <c r="S63" i="7"/>
  <c r="S93" i="7"/>
  <c r="U47" i="7"/>
  <c r="U48" i="7" s="1"/>
  <c r="V23" i="7" l="1"/>
  <c r="W77" i="3"/>
  <c r="W79" i="3" s="1"/>
  <c r="W81" i="3" s="1"/>
  <c r="W82" i="3" s="1"/>
  <c r="W84" i="3" s="1"/>
  <c r="W17" i="7"/>
  <c r="W30" i="7" s="1"/>
  <c r="X23" i="12"/>
  <c r="W21" i="12"/>
  <c r="U104" i="7"/>
  <c r="U97" i="7"/>
  <c r="U99" i="7" s="1"/>
  <c r="V27" i="7"/>
  <c r="V37" i="7"/>
  <c r="X19" i="12"/>
  <c r="X20" i="12" s="1"/>
  <c r="T93" i="7"/>
  <c r="S94" i="7"/>
  <c r="S64" i="7"/>
  <c r="S65" i="7" s="1"/>
  <c r="U32" i="7"/>
  <c r="U33" i="7" s="1"/>
  <c r="U84" i="7" s="1"/>
  <c r="U85" i="7" s="1"/>
  <c r="V102" i="7"/>
  <c r="W29" i="7"/>
  <c r="T87" i="7"/>
  <c r="V28" i="7" l="1"/>
  <c r="V31" i="7" s="1"/>
  <c r="W38" i="7"/>
  <c r="W18" i="7"/>
  <c r="W19" i="7" s="1"/>
  <c r="Y23" i="12"/>
  <c r="X21" i="12"/>
  <c r="U87" i="7"/>
  <c r="W37" i="7"/>
  <c r="V104" i="7"/>
  <c r="V97" i="7"/>
  <c r="V99" i="7" s="1"/>
  <c r="U21" i="7"/>
  <c r="U22" i="7" s="1"/>
  <c r="U93" i="7" s="1"/>
  <c r="U39" i="7"/>
  <c r="S106" i="7"/>
  <c r="S108" i="7" s="1"/>
  <c r="T63" i="7"/>
  <c r="R53" i="7"/>
  <c r="T94" i="7"/>
  <c r="S53" i="7" s="1"/>
  <c r="V47" i="7" l="1"/>
  <c r="V48" i="7" s="1"/>
  <c r="Y19" i="12"/>
  <c r="Y20" i="12" s="1"/>
  <c r="X17" i="7"/>
  <c r="X77" i="3"/>
  <c r="X79" i="3" s="1"/>
  <c r="X81" i="3" s="1"/>
  <c r="X82" i="3" s="1"/>
  <c r="X84" i="3" s="1"/>
  <c r="T64" i="7"/>
  <c r="T65" i="7" s="1"/>
  <c r="W27" i="7"/>
  <c r="W28" i="7" s="1"/>
  <c r="W31" i="7" s="1"/>
  <c r="W23" i="7"/>
  <c r="X29" i="7"/>
  <c r="W102" i="7"/>
  <c r="T106" i="7"/>
  <c r="T108" i="7" s="1"/>
  <c r="U63" i="7"/>
  <c r="V32" i="7"/>
  <c r="V33" i="7" s="1"/>
  <c r="V84" i="7" s="1"/>
  <c r="V85" i="7" s="1"/>
  <c r="W20" i="7"/>
  <c r="U94" i="7"/>
  <c r="Z23" i="12" l="1"/>
  <c r="Y21" i="12"/>
  <c r="V87" i="7"/>
  <c r="W104" i="7"/>
  <c r="W97" i="7"/>
  <c r="W99" i="7" s="1"/>
  <c r="Y17" i="7"/>
  <c r="Y77" i="3"/>
  <c r="Y79" i="3" s="1"/>
  <c r="Y81" i="3" s="1"/>
  <c r="Y82" i="3" s="1"/>
  <c r="Y84" i="3" s="1"/>
  <c r="U106" i="7"/>
  <c r="U108" i="7" s="1"/>
  <c r="V63" i="7"/>
  <c r="V21" i="7"/>
  <c r="V22" i="7" s="1"/>
  <c r="V39" i="7"/>
  <c r="T53" i="7"/>
  <c r="Y29" i="7"/>
  <c r="X102" i="7"/>
  <c r="W52" i="7"/>
  <c r="U64" i="7"/>
  <c r="U65" i="7" s="1"/>
  <c r="X30" i="7"/>
  <c r="X38" i="7"/>
  <c r="X18" i="7"/>
  <c r="Z19" i="12" l="1"/>
  <c r="Z20" i="12" s="1"/>
  <c r="W47" i="7"/>
  <c r="W48" i="7" s="1"/>
  <c r="X19" i="7"/>
  <c r="X20" i="7" s="1"/>
  <c r="V93" i="7"/>
  <c r="Y30" i="7"/>
  <c r="Y38" i="7"/>
  <c r="Y18" i="7"/>
  <c r="X104" i="7"/>
  <c r="X97" i="7"/>
  <c r="X99" i="7" s="1"/>
  <c r="X37" i="7"/>
  <c r="V64" i="7"/>
  <c r="V65" i="7" s="1"/>
  <c r="Y19" i="7" l="1"/>
  <c r="Y20" i="7" s="1"/>
  <c r="Y52" i="7" s="1"/>
  <c r="Z17" i="7"/>
  <c r="Z30" i="7" s="1"/>
  <c r="Z77" i="3"/>
  <c r="Z79" i="3" s="1"/>
  <c r="Z81" i="3" s="1"/>
  <c r="Z82" i="3" s="1"/>
  <c r="Z84" i="3" s="1"/>
  <c r="AA23" i="12"/>
  <c r="Y102" i="7"/>
  <c r="Y104" i="7" s="1"/>
  <c r="Z21" i="12"/>
  <c r="Z29" i="7"/>
  <c r="X52" i="7"/>
  <c r="V94" i="7"/>
  <c r="Y37" i="7"/>
  <c r="W32" i="7"/>
  <c r="W33" i="7" s="1"/>
  <c r="W84" i="7" s="1"/>
  <c r="W85" i="7" s="1"/>
  <c r="X27" i="7"/>
  <c r="X23" i="7"/>
  <c r="X28" i="7" l="1"/>
  <c r="X31" i="7" s="1"/>
  <c r="Y27" i="7"/>
  <c r="Y23" i="7"/>
  <c r="Z18" i="7"/>
  <c r="Z38" i="7"/>
  <c r="Y97" i="7"/>
  <c r="Y99" i="7" s="1"/>
  <c r="AA19" i="12"/>
  <c r="W21" i="7"/>
  <c r="W22" i="7" s="1"/>
  <c r="W39" i="7"/>
  <c r="W87" i="7"/>
  <c r="Z37" i="7"/>
  <c r="V106" i="7"/>
  <c r="V108" i="7" s="1"/>
  <c r="W63" i="7"/>
  <c r="U53" i="7"/>
  <c r="Z19" i="7" l="1"/>
  <c r="Z20" i="7" s="1"/>
  <c r="Z52" i="7" s="1"/>
  <c r="Y28" i="7"/>
  <c r="AA77" i="3"/>
  <c r="AA79" i="3" s="1"/>
  <c r="AA81" i="3" s="1"/>
  <c r="AA82" i="3" s="1"/>
  <c r="AA84" i="3" s="1"/>
  <c r="AA17" i="7"/>
  <c r="AA38" i="7" s="1"/>
  <c r="AA20" i="12"/>
  <c r="W64" i="7"/>
  <c r="W65" i="7" s="1"/>
  <c r="X47" i="7"/>
  <c r="W93" i="7"/>
  <c r="Y47" i="7" l="1"/>
  <c r="Z27" i="7"/>
  <c r="Z23" i="7"/>
  <c r="Y31" i="7"/>
  <c r="Y32" i="7" s="1"/>
  <c r="Y21" i="7" s="1"/>
  <c r="Y22" i="7" s="1"/>
  <c r="Y48" i="7"/>
  <c r="AA18" i="7"/>
  <c r="AA30" i="7"/>
  <c r="AA21" i="12"/>
  <c r="AB19" i="12" s="1"/>
  <c r="AB23" i="12"/>
  <c r="Z102" i="7"/>
  <c r="AA29" i="7"/>
  <c r="X48" i="7"/>
  <c r="W94" i="7"/>
  <c r="X32" i="7"/>
  <c r="Y33" i="7" l="1"/>
  <c r="AA19" i="7"/>
  <c r="X33" i="7"/>
  <c r="X84" i="7" s="1"/>
  <c r="X85" i="7" s="1"/>
  <c r="Y39" i="7"/>
  <c r="Z28" i="7"/>
  <c r="AA37" i="7"/>
  <c r="AB77" i="3"/>
  <c r="AB79" i="3" s="1"/>
  <c r="AB81" i="3" s="1"/>
  <c r="AB82" i="3" s="1"/>
  <c r="AB84" i="3" s="1"/>
  <c r="AB17" i="7"/>
  <c r="Z104" i="7"/>
  <c r="Z97" i="7"/>
  <c r="Z99" i="7" s="1"/>
  <c r="AB20" i="12"/>
  <c r="W106" i="7"/>
  <c r="W108" i="7" s="1"/>
  <c r="X63" i="7"/>
  <c r="V53" i="7"/>
  <c r="X21" i="7"/>
  <c r="X22" i="7" s="1"/>
  <c r="X39" i="7"/>
  <c r="Y84" i="7" l="1"/>
  <c r="Y85" i="7" s="1"/>
  <c r="X87" i="7"/>
  <c r="AA27" i="7"/>
  <c r="AA23" i="7"/>
  <c r="Z31" i="7"/>
  <c r="Z48" i="7"/>
  <c r="Z47" i="7"/>
  <c r="AA20" i="7"/>
  <c r="AA52" i="7" s="1"/>
  <c r="AB30" i="7"/>
  <c r="AB18" i="7"/>
  <c r="AB38" i="7"/>
  <c r="AC23" i="12"/>
  <c r="AB29" i="7"/>
  <c r="AB21" i="12"/>
  <c r="AA102" i="7"/>
  <c r="X93" i="7"/>
  <c r="Y87" i="7"/>
  <c r="X64" i="7"/>
  <c r="X65" i="7" s="1"/>
  <c r="Z32" i="7" l="1"/>
  <c r="Z33" i="7" s="1"/>
  <c r="Z84" i="7" s="1"/>
  <c r="Z85" i="7" s="1"/>
  <c r="Z87" i="7" s="1"/>
  <c r="AA28" i="7"/>
  <c r="AA47" i="7" s="1"/>
  <c r="AB19" i="7"/>
  <c r="AB20" i="7" s="1"/>
  <c r="AB52" i="7" s="1"/>
  <c r="AB37" i="7"/>
  <c r="AC19" i="12"/>
  <c r="AA104" i="7"/>
  <c r="AA97" i="7"/>
  <c r="AA99" i="7" s="1"/>
  <c r="Y93" i="7"/>
  <c r="X94" i="7"/>
  <c r="AB27" i="7" l="1"/>
  <c r="AB23" i="7"/>
  <c r="AA48" i="7"/>
  <c r="AA31" i="7"/>
  <c r="Z21" i="7"/>
  <c r="Z22" i="7" s="1"/>
  <c r="Z39" i="7"/>
  <c r="AC20" i="12"/>
  <c r="AC77" i="3"/>
  <c r="AC79" i="3" s="1"/>
  <c r="AC81" i="3" s="1"/>
  <c r="AC82" i="3" s="1"/>
  <c r="AC84" i="3" s="1"/>
  <c r="AC17" i="7"/>
  <c r="X106" i="7"/>
  <c r="X108" i="7" s="1"/>
  <c r="Y63" i="7"/>
  <c r="W53" i="7"/>
  <c r="Y94" i="7"/>
  <c r="AA32" i="7" l="1"/>
  <c r="Z93" i="7"/>
  <c r="Z94" i="7" s="1"/>
  <c r="AB28" i="7"/>
  <c r="AC18" i="7"/>
  <c r="AC30" i="7"/>
  <c r="AC38" i="7"/>
  <c r="AD23" i="12"/>
  <c r="AB102" i="7"/>
  <c r="AC29" i="7"/>
  <c r="AC21" i="12"/>
  <c r="Y106" i="7"/>
  <c r="Y108" i="7" s="1"/>
  <c r="Z63" i="7"/>
  <c r="X53" i="7"/>
  <c r="Y64" i="7"/>
  <c r="Y65" i="7" s="1"/>
  <c r="AC19" i="7" l="1"/>
  <c r="AB48" i="7"/>
  <c r="AB31" i="7"/>
  <c r="AB47" i="7"/>
  <c r="Y53" i="7"/>
  <c r="AA21" i="7"/>
  <c r="AA22" i="7" s="1"/>
  <c r="AA39" i="7"/>
  <c r="AA33" i="7"/>
  <c r="AA84" i="7" s="1"/>
  <c r="AA85" i="7" s="1"/>
  <c r="AA87" i="7" s="1"/>
  <c r="AD19" i="12"/>
  <c r="AB104" i="7"/>
  <c r="AB97" i="7"/>
  <c r="AB99" i="7" s="1"/>
  <c r="AC37" i="7"/>
  <c r="Z106" i="7"/>
  <c r="Z108" i="7" s="1"/>
  <c r="AA63" i="7"/>
  <c r="Z64" i="7"/>
  <c r="Z65" i="7" s="1"/>
  <c r="AC27" i="7" l="1"/>
  <c r="AC23" i="7"/>
  <c r="AC20" i="7"/>
  <c r="AC52" i="7" s="1"/>
  <c r="AB32" i="7"/>
  <c r="AB33" i="7" s="1"/>
  <c r="AB84" i="7" s="1"/>
  <c r="AB85" i="7" s="1"/>
  <c r="AB87" i="7" s="1"/>
  <c r="AA93" i="7"/>
  <c r="AD20" i="12"/>
  <c r="AD77" i="3"/>
  <c r="AD79" i="3" s="1"/>
  <c r="AD81" i="3" s="1"/>
  <c r="AD82" i="3" s="1"/>
  <c r="AD84" i="3" s="1"/>
  <c r="AD17" i="7"/>
  <c r="AA64" i="7"/>
  <c r="AA65" i="7" s="1"/>
  <c r="AA94" i="7" l="1"/>
  <c r="AC28" i="7"/>
  <c r="AB21" i="7"/>
  <c r="AB22" i="7" s="1"/>
  <c r="AB39" i="7"/>
  <c r="AD38" i="7"/>
  <c r="AD30" i="7"/>
  <c r="AD18" i="7"/>
  <c r="AD20" i="7" s="1"/>
  <c r="AC102" i="7"/>
  <c r="AD29" i="7"/>
  <c r="AE23" i="12"/>
  <c r="AD21" i="12"/>
  <c r="AB93" i="7" l="1"/>
  <c r="AB94" i="7" s="1"/>
  <c r="AA53" i="7" s="1"/>
  <c r="AC31" i="7"/>
  <c r="AC32" i="7" s="1"/>
  <c r="D43" i="7"/>
  <c r="AC47" i="7"/>
  <c r="D46" i="7" s="1"/>
  <c r="G35" i="9" s="1"/>
  <c r="AC48" i="7"/>
  <c r="Z53" i="7"/>
  <c r="AB63" i="7"/>
  <c r="AB64" i="7" s="1"/>
  <c r="AB65" i="7" s="1"/>
  <c r="AA106" i="7"/>
  <c r="AA108" i="7" s="1"/>
  <c r="AD31" i="7"/>
  <c r="AC104" i="7"/>
  <c r="AC97" i="7"/>
  <c r="AC99" i="7" s="1"/>
  <c r="AD37" i="7"/>
  <c r="AE19" i="12"/>
  <c r="AC21" i="7" l="1"/>
  <c r="AC22" i="7" s="1"/>
  <c r="AC39" i="7"/>
  <c r="AC33" i="7"/>
  <c r="AC84" i="7" s="1"/>
  <c r="AC85" i="7" s="1"/>
  <c r="AC87" i="7" s="1"/>
  <c r="AC63" i="7"/>
  <c r="AC64" i="7" s="1"/>
  <c r="AC65" i="7" s="1"/>
  <c r="AB106" i="7"/>
  <c r="AB108" i="7" s="1"/>
  <c r="AE20" i="12"/>
  <c r="AE77" i="3"/>
  <c r="AE79" i="3" s="1"/>
  <c r="AE81" i="3" s="1"/>
  <c r="AE82" i="3" s="1"/>
  <c r="AE84" i="3" s="1"/>
  <c r="AE17" i="7"/>
  <c r="AD48" i="7"/>
  <c r="AC93" i="7" l="1"/>
  <c r="AC94" i="7" s="1"/>
  <c r="AD32" i="7"/>
  <c r="AD21" i="7" s="1"/>
  <c r="AD22" i="7" s="1"/>
  <c r="AE18" i="7"/>
  <c r="AE20" i="7" s="1"/>
  <c r="AE30" i="7"/>
  <c r="AE38" i="7"/>
  <c r="AF23" i="12"/>
  <c r="AD102" i="7"/>
  <c r="AE29" i="7"/>
  <c r="AE21" i="12"/>
  <c r="AD93" i="7" l="1"/>
  <c r="AD94" i="7" s="1"/>
  <c r="AC53" i="7" s="1"/>
  <c r="AD63" i="7"/>
  <c r="AD64" i="7" s="1"/>
  <c r="AD65" i="7" s="1"/>
  <c r="AB53" i="7"/>
  <c r="AC106" i="7"/>
  <c r="AC108" i="7" s="1"/>
  <c r="AE31" i="7"/>
  <c r="AD104" i="7"/>
  <c r="AD97" i="7"/>
  <c r="AD99" i="7" s="1"/>
  <c r="AD33" i="7"/>
  <c r="AD84" i="7" s="1"/>
  <c r="AD85" i="7" s="1"/>
  <c r="AD87" i="7" s="1"/>
  <c r="AF19" i="12"/>
  <c r="AE37" i="7"/>
  <c r="AE63" i="7" l="1"/>
  <c r="AE64" i="7" s="1"/>
  <c r="AE65" i="7" s="1"/>
  <c r="AD106" i="7"/>
  <c r="AD108" i="7" s="1"/>
  <c r="AE48" i="7"/>
  <c r="AF20" i="12"/>
  <c r="AF77" i="3"/>
  <c r="AF79" i="3" s="1"/>
  <c r="AF81" i="3" s="1"/>
  <c r="AF82" i="3" s="1"/>
  <c r="AF84" i="3" s="1"/>
  <c r="AF17" i="7"/>
  <c r="AE102" i="7" l="1"/>
  <c r="AF29" i="7"/>
  <c r="AG23" i="12"/>
  <c r="AF21" i="12"/>
  <c r="AF38" i="7"/>
  <c r="AF30" i="7"/>
  <c r="AF18" i="7"/>
  <c r="AF20" i="7" s="1"/>
  <c r="AE32" i="7"/>
  <c r="AE21" i="7" s="1"/>
  <c r="AE22" i="7" s="1"/>
  <c r="AE93" i="7" s="1"/>
  <c r="AE94" i="7" s="1"/>
  <c r="AF31" i="7" l="1"/>
  <c r="AE104" i="7"/>
  <c r="AE97" i="7"/>
  <c r="AE99" i="7" s="1"/>
  <c r="AG19" i="12"/>
  <c r="AG20" i="12" s="1"/>
  <c r="AE33" i="7"/>
  <c r="AE84" i="7" s="1"/>
  <c r="AE85" i="7" s="1"/>
  <c r="AE87" i="7" s="1"/>
  <c r="AF63" i="7"/>
  <c r="AF64" i="7" s="1"/>
  <c r="AF65" i="7" s="1"/>
  <c r="AF37" i="7"/>
  <c r="AE106" i="7" l="1"/>
  <c r="AE108" i="7" s="1"/>
  <c r="AG21" i="12"/>
  <c r="AH19" i="12" s="1"/>
  <c r="AH23" i="12"/>
  <c r="AF102" i="7"/>
  <c r="AG29" i="7"/>
  <c r="AF48" i="7"/>
  <c r="AG17" i="7"/>
  <c r="AG77" i="3"/>
  <c r="AG79" i="3" s="1"/>
  <c r="AG81" i="3" s="1"/>
  <c r="AG82" i="3" s="1"/>
  <c r="AG84" i="3" s="1"/>
  <c r="AH20" i="12" l="1"/>
  <c r="AH29" i="7" s="1"/>
  <c r="AI23" i="12"/>
  <c r="AG30" i="7"/>
  <c r="AG31" i="7" s="1"/>
  <c r="AG18" i="7"/>
  <c r="AG20" i="7" s="1"/>
  <c r="AG38" i="7"/>
  <c r="AF32" i="7"/>
  <c r="AF21" i="7" s="1"/>
  <c r="AF22" i="7" s="1"/>
  <c r="AF93" i="7" s="1"/>
  <c r="AF94" i="7" s="1"/>
  <c r="AF104" i="7"/>
  <c r="AF97" i="7"/>
  <c r="AF99" i="7" s="1"/>
  <c r="AH77" i="3"/>
  <c r="AH79" i="3" s="1"/>
  <c r="AH81" i="3" s="1"/>
  <c r="AH82" i="3" s="1"/>
  <c r="AH84" i="3" s="1"/>
  <c r="AH17" i="7"/>
  <c r="AG102" i="7" l="1"/>
  <c r="AH21" i="12"/>
  <c r="AI19" i="12" s="1"/>
  <c r="AF33" i="7"/>
  <c r="AF84" i="7" s="1"/>
  <c r="AF85" i="7" s="1"/>
  <c r="AF87" i="7" s="1"/>
  <c r="AG37" i="7"/>
  <c r="AH38" i="7"/>
  <c r="AH18" i="7"/>
  <c r="AH20" i="7" s="1"/>
  <c r="AH30" i="7"/>
  <c r="AH31" i="7" s="1"/>
  <c r="AF106" i="7"/>
  <c r="AG63" i="7"/>
  <c r="AG64" i="7" s="1"/>
  <c r="AG65" i="7" s="1"/>
  <c r="AG97" i="7"/>
  <c r="AG99" i="7" s="1"/>
  <c r="AG104" i="7"/>
  <c r="AI20" i="12" l="1"/>
  <c r="AF108" i="7"/>
  <c r="AJ23" i="12"/>
  <c r="AH37" i="7"/>
  <c r="AG48" i="7"/>
  <c r="AI77" i="3"/>
  <c r="AI79" i="3" s="1"/>
  <c r="AI81" i="3" s="1"/>
  <c r="AI82" i="3" s="1"/>
  <c r="AI84" i="3" s="1"/>
  <c r="AI17" i="7"/>
  <c r="AI29" i="7" l="1"/>
  <c r="AH102" i="7"/>
  <c r="AH97" i="7" s="1"/>
  <c r="AH99" i="7" s="1"/>
  <c r="AI21" i="12"/>
  <c r="AJ19" i="12" s="1"/>
  <c r="AJ20" i="12" s="1"/>
  <c r="AH48" i="7"/>
  <c r="AG32" i="7"/>
  <c r="AG21" i="7" s="1"/>
  <c r="AG22" i="7" s="1"/>
  <c r="AG93" i="7" s="1"/>
  <c r="AG94" i="7" s="1"/>
  <c r="AI30" i="7"/>
  <c r="AI38" i="7"/>
  <c r="AI18" i="7"/>
  <c r="AI20" i="7" s="1"/>
  <c r="AH104" i="7" l="1"/>
  <c r="AI31" i="7"/>
  <c r="AJ21" i="12"/>
  <c r="AK19" i="12" s="1"/>
  <c r="AJ17" i="7"/>
  <c r="AJ77" i="3"/>
  <c r="AJ79" i="3" s="1"/>
  <c r="AJ81" i="3" s="1"/>
  <c r="AJ82" i="3" s="1"/>
  <c r="AJ84" i="3" s="1"/>
  <c r="AH32" i="7"/>
  <c r="AH21" i="7" s="1"/>
  <c r="AH22" i="7" s="1"/>
  <c r="AH93" i="7" s="1"/>
  <c r="AH94" i="7" s="1"/>
  <c r="AI37" i="7"/>
  <c r="AG33" i="7"/>
  <c r="AG84" i="7" s="1"/>
  <c r="AG85" i="7" s="1"/>
  <c r="AG87" i="7" s="1"/>
  <c r="AG106" i="7"/>
  <c r="AH63" i="7"/>
  <c r="AH64" i="7" s="1"/>
  <c r="AH65" i="7" s="1"/>
  <c r="AI102" i="7"/>
  <c r="AJ29" i="7"/>
  <c r="AK23" i="12"/>
  <c r="AK20" i="12" l="1"/>
  <c r="AH33" i="7"/>
  <c r="AH84" i="7" s="1"/>
  <c r="AH85" i="7" s="1"/>
  <c r="AH87" i="7" s="1"/>
  <c r="AL23" i="12"/>
  <c r="AG108" i="7"/>
  <c r="AI104" i="7"/>
  <c r="AI97" i="7"/>
  <c r="AI99" i="7" s="1"/>
  <c r="AM23" i="12"/>
  <c r="AK77" i="3"/>
  <c r="AK79" i="3" s="1"/>
  <c r="AK81" i="3" s="1"/>
  <c r="AK82" i="3" s="1"/>
  <c r="AK84" i="3" s="1"/>
  <c r="AK17" i="7"/>
  <c r="AI48" i="7"/>
  <c r="AH106" i="7"/>
  <c r="AI63" i="7"/>
  <c r="AI64" i="7" s="1"/>
  <c r="AI65" i="7" s="1"/>
  <c r="AJ30" i="7"/>
  <c r="AJ31" i="7" s="1"/>
  <c r="AJ38" i="7"/>
  <c r="AJ18" i="7"/>
  <c r="AJ20" i="7" s="1"/>
  <c r="AK29" i="7" l="1"/>
  <c r="AJ102" i="7"/>
  <c r="AJ104" i="7" s="1"/>
  <c r="AK21" i="12"/>
  <c r="AL19" i="12" s="1"/>
  <c r="AL17" i="7" s="1"/>
  <c r="AJ37" i="7"/>
  <c r="AK18" i="7"/>
  <c r="AK20" i="7" s="1"/>
  <c r="AK38" i="7"/>
  <c r="AK30" i="7"/>
  <c r="AH108" i="7"/>
  <c r="AI32" i="7"/>
  <c r="AI21" i="7" s="1"/>
  <c r="AI22" i="7" s="1"/>
  <c r="AI93" i="7" s="1"/>
  <c r="AI94" i="7" s="1"/>
  <c r="AK31" i="7" l="1"/>
  <c r="AJ97" i="7"/>
  <c r="AJ99" i="7" s="1"/>
  <c r="AI33" i="7"/>
  <c r="AI84" i="7" s="1"/>
  <c r="AI85" i="7" s="1"/>
  <c r="AI87" i="7" s="1"/>
  <c r="AL77" i="3"/>
  <c r="AL79" i="3" s="1"/>
  <c r="AL81" i="3" s="1"/>
  <c r="AL82" i="3" s="1"/>
  <c r="AL84" i="3" s="1"/>
  <c r="AL20" i="12"/>
  <c r="AL21" i="12" s="1"/>
  <c r="AM19" i="12" s="1"/>
  <c r="AN23" i="12"/>
  <c r="AI106" i="7"/>
  <c r="AJ63" i="7"/>
  <c r="AJ64" i="7" s="1"/>
  <c r="AJ65" i="7" s="1"/>
  <c r="AJ48" i="7"/>
  <c r="AK37" i="7"/>
  <c r="AL30" i="7"/>
  <c r="AL18" i="7"/>
  <c r="AL20" i="7" s="1"/>
  <c r="AL38" i="7"/>
  <c r="AM77" i="3" l="1"/>
  <c r="AM79" i="3" s="1"/>
  <c r="AM81" i="3" s="1"/>
  <c r="AM82" i="3" s="1"/>
  <c r="AM84" i="3" s="1"/>
  <c r="AL29" i="7"/>
  <c r="AL31" i="7" s="1"/>
  <c r="AK102" i="7"/>
  <c r="AM17" i="7"/>
  <c r="AM38" i="7" s="1"/>
  <c r="AM20" i="12"/>
  <c r="AI108" i="7"/>
  <c r="AK48" i="7"/>
  <c r="AJ32" i="7"/>
  <c r="AJ21" i="7" s="1"/>
  <c r="AJ22" i="7" s="1"/>
  <c r="AJ93" i="7" s="1"/>
  <c r="AJ94" i="7" s="1"/>
  <c r="AL37" i="7" l="1"/>
  <c r="AM30" i="7"/>
  <c r="AK104" i="7"/>
  <c r="AK97" i="7"/>
  <c r="AK99" i="7" s="1"/>
  <c r="AM18" i="7"/>
  <c r="AM20" i="7" s="1"/>
  <c r="AM21" i="12"/>
  <c r="AM29" i="7"/>
  <c r="AM31" i="7" s="1"/>
  <c r="AL102" i="7"/>
  <c r="AJ33" i="7"/>
  <c r="AJ84" i="7" s="1"/>
  <c r="AJ85" i="7" s="1"/>
  <c r="AJ87" i="7" s="1"/>
  <c r="AL48" i="7"/>
  <c r="AJ106" i="7"/>
  <c r="AK63" i="7"/>
  <c r="AK64" i="7" s="1"/>
  <c r="AK65" i="7" s="1"/>
  <c r="AK32" i="7"/>
  <c r="AK21" i="7" s="1"/>
  <c r="AK22" i="7" s="1"/>
  <c r="AK93" i="7" s="1"/>
  <c r="AK94" i="7" s="1"/>
  <c r="AO23" i="12"/>
  <c r="AM37" i="7" l="1"/>
  <c r="AL104" i="7"/>
  <c r="AL97" i="7"/>
  <c r="AL99" i="7" s="1"/>
  <c r="AN19" i="12"/>
  <c r="AJ108" i="7"/>
  <c r="AK106" i="7"/>
  <c r="AL63" i="7"/>
  <c r="AL64" i="7" s="1"/>
  <c r="AL65" i="7" s="1"/>
  <c r="AL32" i="7"/>
  <c r="AL21" i="7" s="1"/>
  <c r="AL22" i="7" s="1"/>
  <c r="AL93" i="7" s="1"/>
  <c r="AL94" i="7" s="1"/>
  <c r="AM48" i="7"/>
  <c r="AK33" i="7"/>
  <c r="AK84" i="7" s="1"/>
  <c r="AK85" i="7" s="1"/>
  <c r="AK87" i="7" s="1"/>
  <c r="AN77" i="3" l="1"/>
  <c r="AN79" i="3" s="1"/>
  <c r="AN81" i="3" s="1"/>
  <c r="AN82" i="3" s="1"/>
  <c r="AN84" i="3" s="1"/>
  <c r="AN17" i="7"/>
  <c r="AN20" i="12"/>
  <c r="AL33" i="7"/>
  <c r="AL84" i="7" s="1"/>
  <c r="AL85" i="7" s="1"/>
  <c r="AL87" i="7" s="1"/>
  <c r="AM63" i="7"/>
  <c r="AM64" i="7" s="1"/>
  <c r="AM65" i="7" s="1"/>
  <c r="AL106" i="7"/>
  <c r="AK108" i="7"/>
  <c r="AM32" i="7"/>
  <c r="AM21" i="7" s="1"/>
  <c r="AM22" i="7" s="1"/>
  <c r="AM93" i="7" s="1"/>
  <c r="AM94" i="7" s="1"/>
  <c r="AL108" i="7" l="1"/>
  <c r="AN29" i="7"/>
  <c r="AN21" i="12"/>
  <c r="AM102" i="7"/>
  <c r="AN38" i="7"/>
  <c r="AN30" i="7"/>
  <c r="AN18" i="7"/>
  <c r="AN20" i="7" s="1"/>
  <c r="AM33" i="7"/>
  <c r="AM84" i="7" s="1"/>
  <c r="AM85" i="7" s="1"/>
  <c r="AM87" i="7" s="1"/>
  <c r="AQ23" i="12"/>
  <c r="AN63" i="7"/>
  <c r="AN64" i="7" s="1"/>
  <c r="AN65" i="7" s="1"/>
  <c r="AN31" i="7" l="1"/>
  <c r="AO19" i="12"/>
  <c r="AN37" i="7"/>
  <c r="AM97" i="7"/>
  <c r="AM99" i="7" s="1"/>
  <c r="AM104" i="7"/>
  <c r="AM106" i="7" l="1"/>
  <c r="AM108" i="7" s="1"/>
  <c r="AN48" i="7"/>
  <c r="AN32" i="7"/>
  <c r="AN21" i="7" s="1"/>
  <c r="AN22" i="7" s="1"/>
  <c r="AN93" i="7" s="1"/>
  <c r="AN94" i="7" s="1"/>
  <c r="AO63" i="7" s="1"/>
  <c r="AO64" i="7" s="1"/>
  <c r="AO65" i="7" s="1"/>
  <c r="AO17" i="7"/>
  <c r="AO77" i="3"/>
  <c r="AO79" i="3" s="1"/>
  <c r="AO81" i="3" s="1"/>
  <c r="AO82" i="3" s="1"/>
  <c r="AO84" i="3" s="1"/>
  <c r="AO20" i="12"/>
  <c r="AR23" i="12"/>
  <c r="AN33" i="7" l="1"/>
  <c r="AN84" i="7" s="1"/>
  <c r="AN85" i="7" s="1"/>
  <c r="AN87" i="7" s="1"/>
  <c r="AP23" i="12"/>
  <c r="AN102" i="7"/>
  <c r="AO29" i="7"/>
  <c r="AO21" i="12"/>
  <c r="AO38" i="7"/>
  <c r="AO30" i="7"/>
  <c r="AO18" i="7"/>
  <c r="AO20" i="7" s="1"/>
  <c r="AO31" i="7" l="1"/>
  <c r="AN104" i="7"/>
  <c r="AN97" i="7"/>
  <c r="AN99" i="7" s="1"/>
  <c r="AP19" i="12"/>
  <c r="AP20" i="12" s="1"/>
  <c r="AO37" i="7"/>
  <c r="AN106" i="7" l="1"/>
  <c r="AN108" i="7" s="1"/>
  <c r="AP29" i="7"/>
  <c r="AO102" i="7"/>
  <c r="AP21" i="12"/>
  <c r="AP77" i="3"/>
  <c r="AP79" i="3" s="1"/>
  <c r="AP81" i="3" s="1"/>
  <c r="AP82" i="3" s="1"/>
  <c r="AP84" i="3" s="1"/>
  <c r="AP17" i="7"/>
  <c r="AO48" i="7"/>
  <c r="AO32" i="7" l="1"/>
  <c r="AO21" i="7" s="1"/>
  <c r="AO22" i="7" s="1"/>
  <c r="AO93" i="7" s="1"/>
  <c r="AO94" i="7" s="1"/>
  <c r="AP18" i="7"/>
  <c r="AP20" i="7" s="1"/>
  <c r="AP30" i="7"/>
  <c r="AP31" i="7" s="1"/>
  <c r="AP38" i="7"/>
  <c r="AQ19" i="12"/>
  <c r="AQ20" i="12" s="1"/>
  <c r="AQ21" i="12" s="1"/>
  <c r="AO104" i="7"/>
  <c r="AO97" i="7"/>
  <c r="AO99" i="7" s="1"/>
  <c r="AR19" i="12" l="1"/>
  <c r="AR20" i="12" s="1"/>
  <c r="AR21" i="12" s="1"/>
  <c r="AQ17" i="7"/>
  <c r="AQ77" i="3"/>
  <c r="AQ79" i="3" s="1"/>
  <c r="AQ81" i="3" s="1"/>
  <c r="AQ82" i="3" s="1"/>
  <c r="AQ84" i="3" s="1"/>
  <c r="AO33" i="7"/>
  <c r="AO84" i="7" s="1"/>
  <c r="AO85" i="7" s="1"/>
  <c r="AO87" i="7" s="1"/>
  <c r="AO106" i="7"/>
  <c r="AP63" i="7"/>
  <c r="AP64" i="7" s="1"/>
  <c r="AP65" i="7" s="1"/>
  <c r="AP37" i="7"/>
  <c r="AP102" i="7"/>
  <c r="AQ29" i="7"/>
  <c r="AO108" i="7" l="1"/>
  <c r="AR29" i="7"/>
  <c r="AQ102" i="7"/>
  <c r="AP48" i="7"/>
  <c r="AQ38" i="7"/>
  <c r="AQ18" i="7"/>
  <c r="AQ20" i="7" s="1"/>
  <c r="AQ30" i="7"/>
  <c r="AQ31" i="7" s="1"/>
  <c r="AR97" i="7"/>
  <c r="AR99" i="7" s="1"/>
  <c r="AP104" i="7"/>
  <c r="AP97" i="7"/>
  <c r="AP99" i="7" s="1"/>
  <c r="AR77" i="3"/>
  <c r="AR79" i="3" s="1"/>
  <c r="AR81" i="3" s="1"/>
  <c r="AR82" i="3" s="1"/>
  <c r="AR84" i="3" s="1"/>
  <c r="AR17" i="7"/>
  <c r="AQ104" i="7" l="1"/>
  <c r="AQ97" i="7"/>
  <c r="AQ99" i="7" s="1"/>
  <c r="AP32" i="7"/>
  <c r="AP21" i="7" s="1"/>
  <c r="AP22" i="7" s="1"/>
  <c r="AP93" i="7" s="1"/>
  <c r="AP94" i="7" s="1"/>
  <c r="AR38" i="7"/>
  <c r="AR18" i="7"/>
  <c r="AR20" i="7" s="1"/>
  <c r="AR30" i="7"/>
  <c r="AR31" i="7" s="1"/>
  <c r="D45" i="7" s="1"/>
  <c r="AQ37" i="7"/>
  <c r="AR37" i="7" l="1"/>
  <c r="AP106" i="7"/>
  <c r="AQ63" i="7"/>
  <c r="AQ64" i="7" s="1"/>
  <c r="AQ65" i="7" s="1"/>
  <c r="AQ48" i="7"/>
  <c r="AP33" i="7"/>
  <c r="AP84" i="7" s="1"/>
  <c r="AP85" i="7" s="1"/>
  <c r="AP87" i="7" s="1"/>
  <c r="AP108" i="7" l="1"/>
  <c r="AQ32" i="7"/>
  <c r="AQ21" i="7" s="1"/>
  <c r="AQ22" i="7" s="1"/>
  <c r="AQ93" i="7" s="1"/>
  <c r="AQ94" i="7" s="1"/>
  <c r="AR48" i="7"/>
  <c r="F35" i="9" l="1"/>
  <c r="D44" i="7"/>
  <c r="E35" i="9" s="1"/>
  <c r="AQ33" i="7"/>
  <c r="AQ84" i="7" s="1"/>
  <c r="AQ85" i="7" s="1"/>
  <c r="AQ87" i="7" s="1"/>
  <c r="AR32" i="7"/>
  <c r="AR21" i="7" s="1"/>
  <c r="AR22" i="7" s="1"/>
  <c r="AR93" i="7" s="1"/>
  <c r="AR94" i="7" s="1"/>
  <c r="AR106" i="7" s="1"/>
  <c r="AR63" i="7"/>
  <c r="AR64" i="7" s="1"/>
  <c r="AR65" i="7" s="1"/>
  <c r="AQ106" i="7"/>
  <c r="AQ108" i="7" l="1"/>
  <c r="AR33" i="7"/>
  <c r="AR84" i="7" s="1"/>
  <c r="AR85" i="7" s="1"/>
  <c r="AR87" i="7" s="1"/>
  <c r="AR108" i="7" s="1"/>
</calcChain>
</file>

<file path=xl/comments1.xml><?xml version="1.0" encoding="utf-8"?>
<comments xmlns="http://schemas.openxmlformats.org/spreadsheetml/2006/main">
  <authors>
    <author>Robert</author>
  </authors>
  <commentList>
    <comment ref="I11" authorId="0" shapeId="0">
      <text>
        <r>
          <rPr>
            <b/>
            <sz val="9"/>
            <color indexed="81"/>
            <rFont val="Tahoma"/>
            <family val="2"/>
          </rPr>
          <t>Robert:</t>
        </r>
        <r>
          <rPr>
            <sz val="9"/>
            <color indexed="81"/>
            <rFont val="Tahoma"/>
            <family val="2"/>
          </rPr>
          <t xml:space="preserve">
land is not depreciable</t>
        </r>
      </text>
    </comment>
    <comment ref="L11" authorId="0" shapeId="0">
      <text>
        <r>
          <rPr>
            <b/>
            <sz val="9"/>
            <color indexed="81"/>
            <rFont val="Tahoma"/>
            <family val="2"/>
          </rPr>
          <t>Robert:</t>
        </r>
        <r>
          <rPr>
            <sz val="9"/>
            <color indexed="81"/>
            <rFont val="Tahoma"/>
            <family val="2"/>
          </rPr>
          <t xml:space="preserve">
land is not depreciable</t>
        </r>
      </text>
    </comment>
    <comment ref="I34" authorId="0" shapeId="0">
      <text>
        <r>
          <rPr>
            <b/>
            <sz val="9"/>
            <color indexed="81"/>
            <rFont val="Tahoma"/>
            <family val="2"/>
          </rPr>
          <t>Robert:</t>
        </r>
        <r>
          <rPr>
            <sz val="9"/>
            <color indexed="81"/>
            <rFont val="Tahoma"/>
            <family val="2"/>
          </rPr>
          <t xml:space="preserve">
land is not depreciable</t>
        </r>
      </text>
    </comment>
    <comment ref="L34" authorId="0" shapeId="0">
      <text>
        <r>
          <rPr>
            <b/>
            <sz val="9"/>
            <color indexed="81"/>
            <rFont val="Tahoma"/>
            <family val="2"/>
          </rPr>
          <t>Robert:</t>
        </r>
        <r>
          <rPr>
            <sz val="9"/>
            <color indexed="81"/>
            <rFont val="Tahoma"/>
            <family val="2"/>
          </rPr>
          <t xml:space="preserve">
land is not depreciable</t>
        </r>
      </text>
    </comment>
    <comment ref="I65" authorId="0" shapeId="0">
      <text>
        <r>
          <rPr>
            <b/>
            <sz val="9"/>
            <color indexed="81"/>
            <rFont val="Tahoma"/>
            <family val="2"/>
          </rPr>
          <t>Robert:</t>
        </r>
        <r>
          <rPr>
            <sz val="9"/>
            <color indexed="81"/>
            <rFont val="Tahoma"/>
            <family val="2"/>
          </rPr>
          <t xml:space="preserve">
land is not depreciable</t>
        </r>
      </text>
    </comment>
    <comment ref="L65" authorId="0" shapeId="0">
      <text>
        <r>
          <rPr>
            <b/>
            <sz val="9"/>
            <color indexed="81"/>
            <rFont val="Tahoma"/>
            <family val="2"/>
          </rPr>
          <t>Robert:</t>
        </r>
        <r>
          <rPr>
            <sz val="9"/>
            <color indexed="81"/>
            <rFont val="Tahoma"/>
            <family val="2"/>
          </rPr>
          <t xml:space="preserve">
land is not depreciable</t>
        </r>
      </text>
    </comment>
    <comment ref="I84" authorId="0" shapeId="0">
      <text>
        <r>
          <rPr>
            <b/>
            <sz val="9"/>
            <color indexed="81"/>
            <rFont val="Tahoma"/>
            <family val="2"/>
          </rPr>
          <t>Robert:</t>
        </r>
        <r>
          <rPr>
            <sz val="9"/>
            <color indexed="81"/>
            <rFont val="Tahoma"/>
            <family val="2"/>
          </rPr>
          <t xml:space="preserve">
land is not depreciable</t>
        </r>
      </text>
    </comment>
    <comment ref="L84" authorId="0" shapeId="0">
      <text>
        <r>
          <rPr>
            <b/>
            <sz val="9"/>
            <color indexed="81"/>
            <rFont val="Tahoma"/>
            <family val="2"/>
          </rPr>
          <t>Robert:</t>
        </r>
        <r>
          <rPr>
            <sz val="9"/>
            <color indexed="81"/>
            <rFont val="Tahoma"/>
            <family val="2"/>
          </rPr>
          <t xml:space="preserve">
land is not depreciable</t>
        </r>
      </text>
    </comment>
    <comment ref="I104" authorId="0" shapeId="0">
      <text>
        <r>
          <rPr>
            <b/>
            <sz val="9"/>
            <color indexed="81"/>
            <rFont val="Tahoma"/>
            <family val="2"/>
          </rPr>
          <t>Robert:</t>
        </r>
        <r>
          <rPr>
            <sz val="9"/>
            <color indexed="81"/>
            <rFont val="Tahoma"/>
            <family val="2"/>
          </rPr>
          <t xml:space="preserve">
land is not depreciable</t>
        </r>
      </text>
    </comment>
    <comment ref="L104" authorId="0" shapeId="0">
      <text>
        <r>
          <rPr>
            <b/>
            <sz val="9"/>
            <color indexed="81"/>
            <rFont val="Tahoma"/>
            <family val="2"/>
          </rPr>
          <t>Robert:</t>
        </r>
        <r>
          <rPr>
            <sz val="9"/>
            <color indexed="81"/>
            <rFont val="Tahoma"/>
            <family val="2"/>
          </rPr>
          <t xml:space="preserve">
land is not depreciable</t>
        </r>
      </text>
    </comment>
  </commentList>
</comments>
</file>

<file path=xl/comments2.xml><?xml version="1.0" encoding="utf-8"?>
<comments xmlns="http://schemas.openxmlformats.org/spreadsheetml/2006/main">
  <authors>
    <author>Robert</author>
  </authors>
  <commentList>
    <comment ref="G26"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27"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28"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29"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30" authorId="0" shapeId="0">
      <text>
        <r>
          <rPr>
            <b/>
            <sz val="9"/>
            <color indexed="81"/>
            <rFont val="Tahoma"/>
            <family val="2"/>
          </rPr>
          <t>Robert:</t>
        </r>
        <r>
          <rPr>
            <sz val="9"/>
            <color indexed="81"/>
            <rFont val="Tahoma"/>
            <family val="2"/>
          </rPr>
          <t xml:space="preserve">
These are costs that vary directly with the kilowatt-hours (kWh) generated by the plant</t>
        </r>
      </text>
    </comment>
    <comment ref="G31" authorId="0" shapeId="0">
      <text>
        <r>
          <rPr>
            <b/>
            <sz val="9"/>
            <color indexed="81"/>
            <rFont val="Tahoma"/>
            <family val="2"/>
          </rPr>
          <t>Robert:</t>
        </r>
        <r>
          <rPr>
            <sz val="9"/>
            <color indexed="81"/>
            <rFont val="Tahoma"/>
            <family val="2"/>
          </rPr>
          <t xml:space="preserve">
These are costs that vary directly with the kilowatt-hours (kWh) generated by the plant</t>
        </r>
      </text>
    </comment>
    <comment ref="G32" authorId="0" shapeId="0">
      <text>
        <r>
          <rPr>
            <b/>
            <sz val="9"/>
            <color indexed="81"/>
            <rFont val="Tahoma"/>
            <family val="2"/>
          </rPr>
          <t>Robert:</t>
        </r>
        <r>
          <rPr>
            <sz val="9"/>
            <color indexed="81"/>
            <rFont val="Tahoma"/>
            <family val="2"/>
          </rPr>
          <t xml:space="preserve">
These are costs that vary directly with the kilowatt-hours (kWh) generated by the plant</t>
        </r>
      </text>
    </comment>
    <comment ref="G33"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34"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35"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36"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37"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38"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39"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40"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41"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42"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43" authorId="0" shapeId="0">
      <text>
        <r>
          <rPr>
            <b/>
            <sz val="9"/>
            <color indexed="81"/>
            <rFont val="Tahoma"/>
            <family val="2"/>
          </rPr>
          <t>Robert:</t>
        </r>
        <r>
          <rPr>
            <sz val="9"/>
            <color indexed="81"/>
            <rFont val="Tahoma"/>
            <family val="2"/>
          </rPr>
          <t xml:space="preserve">
These are costs that vary directly with the kilowatt-hours (kWh) generated by the plant</t>
        </r>
      </text>
    </comment>
    <comment ref="G44" authorId="0" shapeId="0">
      <text>
        <r>
          <rPr>
            <b/>
            <sz val="9"/>
            <color indexed="81"/>
            <rFont val="Tahoma"/>
            <family val="2"/>
          </rPr>
          <t>Robert:</t>
        </r>
        <r>
          <rPr>
            <sz val="9"/>
            <color indexed="81"/>
            <rFont val="Tahoma"/>
            <family val="2"/>
          </rPr>
          <t xml:space="preserve">
These are costs that vary directly with the kilowatt-hours (kWh) generated by the plant</t>
        </r>
      </text>
    </comment>
    <comment ref="G45" authorId="0" shapeId="0">
      <text>
        <r>
          <rPr>
            <b/>
            <sz val="9"/>
            <color indexed="81"/>
            <rFont val="Tahoma"/>
            <family val="2"/>
          </rPr>
          <t>Robert:</t>
        </r>
        <r>
          <rPr>
            <sz val="9"/>
            <color indexed="81"/>
            <rFont val="Tahoma"/>
            <family val="2"/>
          </rPr>
          <t xml:space="preserve">
These are costs that vary directly with the kilowatt-hours (kWh) generated by the plant</t>
        </r>
      </text>
    </comment>
    <comment ref="G46" authorId="0" shapeId="0">
      <text>
        <r>
          <rPr>
            <b/>
            <sz val="9"/>
            <color indexed="81"/>
            <rFont val="Tahoma"/>
            <family val="2"/>
          </rPr>
          <t>Robert:</t>
        </r>
        <r>
          <rPr>
            <sz val="9"/>
            <color indexed="81"/>
            <rFont val="Tahoma"/>
            <family val="2"/>
          </rPr>
          <t xml:space="preserve">
These are costs that vary directly with the kilowatt-hours (kWh) generated by the plant</t>
        </r>
      </text>
    </comment>
    <comment ref="G47" authorId="0" shapeId="0">
      <text>
        <r>
          <rPr>
            <b/>
            <sz val="9"/>
            <color indexed="81"/>
            <rFont val="Tahoma"/>
            <family val="2"/>
          </rPr>
          <t>Robert:</t>
        </r>
        <r>
          <rPr>
            <sz val="9"/>
            <color indexed="81"/>
            <rFont val="Tahoma"/>
            <family val="2"/>
          </rPr>
          <t xml:space="preserve">
These are costs that vary directly with the kilowatt-hours (kWh) generated by the plant</t>
        </r>
      </text>
    </comment>
    <comment ref="G48"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49" authorId="0" shapeId="0">
      <text>
        <r>
          <rPr>
            <b/>
            <sz val="9"/>
            <color indexed="81"/>
            <rFont val="Tahoma"/>
            <family val="2"/>
          </rPr>
          <t>Robert:</t>
        </r>
        <r>
          <rPr>
            <sz val="9"/>
            <color indexed="81"/>
            <rFont val="Tahoma"/>
            <family val="2"/>
          </rPr>
          <t xml:space="preserve">
These are costs that do not vary directly with the kilowatt-hours (kWh) generated by the plant</t>
        </r>
      </text>
    </comment>
    <comment ref="G50" authorId="0" shapeId="0">
      <text>
        <r>
          <rPr>
            <b/>
            <sz val="9"/>
            <color indexed="81"/>
            <rFont val="Tahoma"/>
            <family val="2"/>
          </rPr>
          <t>Robert:</t>
        </r>
        <r>
          <rPr>
            <sz val="9"/>
            <color indexed="81"/>
            <rFont val="Tahoma"/>
            <family val="2"/>
          </rPr>
          <t xml:space="preserve">
These are costs that vary directly with the kilowatt-hours (kWh) generated by the plant</t>
        </r>
      </text>
    </comment>
    <comment ref="E63" authorId="0" shapeId="0">
      <text>
        <r>
          <rPr>
            <b/>
            <sz val="9"/>
            <color indexed="81"/>
            <rFont val="Tahoma"/>
            <family val="2"/>
          </rPr>
          <t>Robert:</t>
        </r>
        <r>
          <rPr>
            <sz val="9"/>
            <color indexed="81"/>
            <rFont val="Tahoma"/>
            <family val="2"/>
          </rPr>
          <t xml:space="preserve">
A regulatory deferral account balance is an amount of expense or income that would not be recognised as an asset or liability, but that qualifies to be deferred in accordance with IFRS 14, because the amount is included, or is expected to be included, by a rate regulator in establishing the tariffs/prices that an entity can charge to customers for rate-regulated goods or services.</t>
        </r>
      </text>
    </comment>
  </commentList>
</comments>
</file>

<file path=xl/comments3.xml><?xml version="1.0" encoding="utf-8"?>
<comments xmlns="http://schemas.openxmlformats.org/spreadsheetml/2006/main">
  <authors>
    <author>Robert</author>
  </authors>
  <commentList>
    <comment ref="E10" authorId="0" shapeId="0">
      <text>
        <r>
          <rPr>
            <b/>
            <sz val="9"/>
            <color indexed="81"/>
            <rFont val="Tahoma"/>
            <family val="2"/>
          </rPr>
          <t>Robert:</t>
        </r>
        <r>
          <rPr>
            <sz val="9"/>
            <color indexed="81"/>
            <rFont val="Tahoma"/>
            <family val="2"/>
          </rPr>
          <t xml:space="preserve">
IAS/IFRS requires as follows:
1) A grant is recognised only when there is reasonable assurance that (a) the entity will comply with any conditions attached to the grant and (b) the grant will be received. [IAS 20.7];
2) The grant is recognised as income over the period necessary to match them with the related costs, for which they are intended to compensate, on a systematic basis. [IAS 20.12];
3) A grant receivable as compensation for costs already incurred or for immediate financial support, with no future related costs, should be recognised as income in the period in which it is receivable. [IAS 20.20]
4) A grant relating to income may be reported separately as 'other income' or deducted from the related expense. [IAS 20.29]</t>
        </r>
      </text>
    </comment>
    <comment ref="E74" authorId="0" shapeId="0">
      <text>
        <r>
          <rPr>
            <b/>
            <sz val="9"/>
            <color indexed="81"/>
            <rFont val="Tahoma"/>
            <family val="2"/>
          </rPr>
          <t>Robert:</t>
        </r>
        <r>
          <rPr>
            <sz val="9"/>
            <color indexed="81"/>
            <rFont val="Tahoma"/>
            <family val="2"/>
          </rPr>
          <t xml:space="preserve">
IAS requires that a grant relating to assets may be presented in one of two ways: [IAS 20.24]
1) as deferred income, or 
2) by deducting the grant from the asset's carrying amount.</t>
        </r>
      </text>
    </comment>
  </commentList>
</comments>
</file>

<file path=xl/sharedStrings.xml><?xml version="1.0" encoding="utf-8"?>
<sst xmlns="http://schemas.openxmlformats.org/spreadsheetml/2006/main" count="1010" uniqueCount="610">
  <si>
    <t>Generation</t>
  </si>
  <si>
    <t>Distribution</t>
  </si>
  <si>
    <t>Battery</t>
  </si>
  <si>
    <t>Total</t>
  </si>
  <si>
    <t>Inverters</t>
  </si>
  <si>
    <t>Tower</t>
  </si>
  <si>
    <t>Commissioning</t>
  </si>
  <si>
    <t>Engineering</t>
  </si>
  <si>
    <t>Access road</t>
  </si>
  <si>
    <t>Civils works/site preparation</t>
  </si>
  <si>
    <t>Fuel Storage and Accessories</t>
  </si>
  <si>
    <t>Towers,  Poles and Fixtures</t>
  </si>
  <si>
    <t>Grid</t>
  </si>
  <si>
    <t>%</t>
  </si>
  <si>
    <t>Units</t>
  </si>
  <si>
    <t>Installed (name plate) Capacity</t>
  </si>
  <si>
    <t>Currency</t>
  </si>
  <si>
    <t>Total Project Costs</t>
  </si>
  <si>
    <t>Months</t>
  </si>
  <si>
    <t>Interest During Construction</t>
  </si>
  <si>
    <t>Project construction period</t>
  </si>
  <si>
    <t>Equity</t>
  </si>
  <si>
    <t>USD</t>
  </si>
  <si>
    <t>KES</t>
  </si>
  <si>
    <t>GBP</t>
  </si>
  <si>
    <t>Euro</t>
  </si>
  <si>
    <t>Debt</t>
  </si>
  <si>
    <t>WACC</t>
  </si>
  <si>
    <t>Plant Annual Degradation Rate</t>
  </si>
  <si>
    <t>Depreciation</t>
  </si>
  <si>
    <t>Straight line</t>
  </si>
  <si>
    <t>Debt term</t>
  </si>
  <si>
    <t>Years</t>
  </si>
  <si>
    <t>Yes</t>
  </si>
  <si>
    <t>No</t>
  </si>
  <si>
    <t>Input</t>
  </si>
  <si>
    <t>Amounts</t>
  </si>
  <si>
    <t>% funding</t>
  </si>
  <si>
    <t>Weighted Cost</t>
  </si>
  <si>
    <t>Tax rate</t>
  </si>
  <si>
    <t>Useful life</t>
  </si>
  <si>
    <t>Yrs</t>
  </si>
  <si>
    <t>Kwh</t>
  </si>
  <si>
    <t>Distribution (Dx)</t>
  </si>
  <si>
    <t>Reticulation (Rx)/ Metering</t>
  </si>
  <si>
    <t>Dx and Rx Station Equipment</t>
  </si>
  <si>
    <t>Annual Deprection</t>
  </si>
  <si>
    <t>Energy Delivered</t>
  </si>
  <si>
    <t>Straight-line</t>
  </si>
  <si>
    <t xml:space="preserve"> </t>
  </si>
  <si>
    <t>Units of outputs</t>
  </si>
  <si>
    <t>Total Cost</t>
  </si>
  <si>
    <t>Payments to contractor</t>
  </si>
  <si>
    <t>Cumulative % all works</t>
  </si>
  <si>
    <t>Draw down</t>
  </si>
  <si>
    <t>% interest</t>
  </si>
  <si>
    <t>Total Interest during construction</t>
  </si>
  <si>
    <t>Interest</t>
  </si>
  <si>
    <t>Balance</t>
  </si>
  <si>
    <t>Principal</t>
  </si>
  <si>
    <t>Interest during Construction</t>
  </si>
  <si>
    <t>Yr1</t>
  </si>
  <si>
    <t>Year</t>
  </si>
  <si>
    <t>Total Principal</t>
  </si>
  <si>
    <t>Borrowing</t>
  </si>
  <si>
    <t>Repayments</t>
  </si>
  <si>
    <t>Metering and Reticulation</t>
  </si>
  <si>
    <t>Debt Tenor (Years)</t>
  </si>
  <si>
    <t>Debt Interest Rate (%) p.a.</t>
  </si>
  <si>
    <t>% completion Gx</t>
  </si>
  <si>
    <t>% completion Dx</t>
  </si>
  <si>
    <t>% completion Metering/Rx</t>
  </si>
  <si>
    <t>All Works Monthly Total</t>
  </si>
  <si>
    <t>Cumulative Amounts All Works</t>
  </si>
  <si>
    <t>Amount</t>
  </si>
  <si>
    <t>Month</t>
  </si>
  <si>
    <t>Total Repayment</t>
  </si>
  <si>
    <t>Yr2</t>
  </si>
  <si>
    <t>Yr3</t>
  </si>
  <si>
    <t>Yr4</t>
  </si>
  <si>
    <t>Yr5</t>
  </si>
  <si>
    <t>Power generated</t>
  </si>
  <si>
    <t>hrs</t>
  </si>
  <si>
    <t>Tariffed Energy Delivered</t>
  </si>
  <si>
    <t>B. O&amp;M Expenditure</t>
  </si>
  <si>
    <t>per annum</t>
  </si>
  <si>
    <t>Units of Outputs</t>
  </si>
  <si>
    <t>D. Working Capital (WC)</t>
  </si>
  <si>
    <t>Plant economic useful life</t>
  </si>
  <si>
    <t>Statement of Financial Position</t>
  </si>
  <si>
    <t>Assets</t>
  </si>
  <si>
    <t>Net Book Value</t>
  </si>
  <si>
    <t>Accumulated Amortization</t>
  </si>
  <si>
    <t>Trade &amp; Other Receivebles</t>
  </si>
  <si>
    <t>Cash &amp; Cash Equivalents</t>
  </si>
  <si>
    <t>Total Assets</t>
  </si>
  <si>
    <t>Share Capital</t>
  </si>
  <si>
    <t>Retained Earnings</t>
  </si>
  <si>
    <t>Long term loan</t>
  </si>
  <si>
    <t xml:space="preserve">Deferred tax </t>
  </si>
  <si>
    <t>Current portion of long-term loan</t>
  </si>
  <si>
    <t>Total Capital Reserves &amp; Liabilities</t>
  </si>
  <si>
    <t>control</t>
  </si>
  <si>
    <t>Capital grant/subsidy received</t>
  </si>
  <si>
    <t>E. WACC</t>
  </si>
  <si>
    <t>Insurance</t>
  </si>
  <si>
    <t>Security</t>
  </si>
  <si>
    <t>Spare parts</t>
  </si>
  <si>
    <t>Others - please specify</t>
  </si>
  <si>
    <t>MW</t>
  </si>
  <si>
    <t>IT Costs</t>
  </si>
  <si>
    <t>Stationery &amp; office supplies costs</t>
  </si>
  <si>
    <t>Telephony  costs</t>
  </si>
  <si>
    <t>Casual staff Costs</t>
  </si>
  <si>
    <t>Plant fuel costs</t>
  </si>
  <si>
    <t>Plant maintenance costs-materials</t>
  </si>
  <si>
    <t>Plant maintenance costs-labour</t>
  </si>
  <si>
    <t>Plant operating costs-materials</t>
  </si>
  <si>
    <t>Plant operating costs-labour</t>
  </si>
  <si>
    <t>Land Rights Acquisition Costs</t>
  </si>
  <si>
    <t>Land Costs</t>
  </si>
  <si>
    <t>Labour-Installation</t>
  </si>
  <si>
    <t>Labour-Connection</t>
  </si>
  <si>
    <t>Project Management</t>
  </si>
  <si>
    <t>Capacity Factor</t>
  </si>
  <si>
    <t>Purpose</t>
  </si>
  <si>
    <t>Metering/Retail/Reticulation</t>
  </si>
  <si>
    <t>FX Rate Difference</t>
  </si>
  <si>
    <t>Current Exchange Rate (KES)</t>
  </si>
  <si>
    <t>Total FX Adjustment</t>
  </si>
  <si>
    <t>Total O&amp;M Costs</t>
  </si>
  <si>
    <t>FX Adjustment per kWh</t>
  </si>
  <si>
    <t>kWh</t>
  </si>
  <si>
    <t>kW</t>
  </si>
  <si>
    <t xml:space="preserve">Nacelle </t>
  </si>
  <si>
    <t xml:space="preserve">Blades </t>
  </si>
  <si>
    <t xml:space="preserve">Gearbox </t>
  </si>
  <si>
    <t xml:space="preserve">Wind Turbine Generator </t>
  </si>
  <si>
    <t xml:space="preserve">Controller </t>
  </si>
  <si>
    <t xml:space="preserve">Rotor hub </t>
  </si>
  <si>
    <t>Transformer  and power converter</t>
  </si>
  <si>
    <t>Monitoring System or SCADA</t>
  </si>
  <si>
    <t>Small and large array cable</t>
  </si>
  <si>
    <t>Customs Duty/Clearnance</t>
  </si>
  <si>
    <t>Transportation/Delivery</t>
  </si>
  <si>
    <t>Substation</t>
  </si>
  <si>
    <t>Export cable</t>
  </si>
  <si>
    <t>Wind Turbine Installation</t>
  </si>
  <si>
    <t>Foundations Installation</t>
  </si>
  <si>
    <t>Electrical Infrastructure Installation</t>
  </si>
  <si>
    <t>Installation</t>
  </si>
  <si>
    <t>Billing system</t>
  </si>
  <si>
    <t>Connection cables</t>
  </si>
  <si>
    <t>Meter boxes</t>
  </si>
  <si>
    <t>Protections</t>
  </si>
  <si>
    <t xml:space="preserve">Customer interface units </t>
  </si>
  <si>
    <t>Development Costs</t>
  </si>
  <si>
    <t>Technical (Grid) losses</t>
  </si>
  <si>
    <t>Expected Power Dispatch</t>
  </si>
  <si>
    <t>Panel trackers</t>
  </si>
  <si>
    <t>Panels</t>
  </si>
  <si>
    <t>Finance/Admin IT(Computers and Software)</t>
  </si>
  <si>
    <t>Balance of System Ancilliaries</t>
  </si>
  <si>
    <t>Panels Racking and Mounting Hardware</t>
  </si>
  <si>
    <t>Customer acquisition (sales/marketing)</t>
  </si>
  <si>
    <t>Land lease rent</t>
  </si>
  <si>
    <t>Permanent staff costs</t>
  </si>
  <si>
    <t>Bank Charges</t>
  </si>
  <si>
    <t>Audit fees</t>
  </si>
  <si>
    <t>Extended warranty agreements</t>
  </si>
  <si>
    <t>Finance Admin costs</t>
  </si>
  <si>
    <t>Civils</t>
  </si>
  <si>
    <t>Reservoirs/Dams/Waterways Costs</t>
  </si>
  <si>
    <t>Water Wheels, Turbines and Generators</t>
  </si>
  <si>
    <t>Organisational set-up/Establishment Costs</t>
  </si>
  <si>
    <t>Prime Mover</t>
  </si>
  <si>
    <t>Net Power After Technical Losses</t>
  </si>
  <si>
    <t>Annual hours of energy delivery</t>
  </si>
  <si>
    <t>per kWh</t>
  </si>
  <si>
    <t>First Year Energy Delivered</t>
  </si>
  <si>
    <t>Water</t>
  </si>
  <si>
    <t>Licenses/permits</t>
  </si>
  <si>
    <t>Cost reflective Tariff</t>
  </si>
  <si>
    <t>Subsidized tariff</t>
  </si>
  <si>
    <t>Tariff Matrix</t>
  </si>
  <si>
    <t>Phased Commissioning(kWh)</t>
  </si>
  <si>
    <t>Phased Commissioning (%)</t>
  </si>
  <si>
    <t>PPE (RAB) Commissioned</t>
  </si>
  <si>
    <t>Plant degradation (kWh equivalent)</t>
  </si>
  <si>
    <t>Tariff Building Blocks:</t>
  </si>
  <si>
    <t xml:space="preserve">     Capital Subsidy</t>
  </si>
  <si>
    <t>Capital-Assets &amp; connection subsidy</t>
  </si>
  <si>
    <t xml:space="preserve">     Income (Recurrent) Subsidy</t>
  </si>
  <si>
    <t>Prepayments received</t>
  </si>
  <si>
    <t>Debt origination/arranger's fee</t>
  </si>
  <si>
    <t>Customs Clearance</t>
  </si>
  <si>
    <t>Energy Delivered Annually</t>
  </si>
  <si>
    <t>Utility Related-Travel costs</t>
  </si>
  <si>
    <t>Utility Related-Office rent</t>
  </si>
  <si>
    <t>Intake, Penstock and Surge Chamber</t>
  </si>
  <si>
    <t>Variable</t>
  </si>
  <si>
    <t>Fixed</t>
  </si>
  <si>
    <t>Property taxes</t>
  </si>
  <si>
    <t>G. Equity Return</t>
  </si>
  <si>
    <t>After Tax</t>
  </si>
  <si>
    <t>Building and fixtures</t>
  </si>
  <si>
    <t>Buildings and Fixtures containing plant</t>
  </si>
  <si>
    <t>Office Equipment and Furniture</t>
  </si>
  <si>
    <t>Vehicles</t>
  </si>
  <si>
    <t>Annual Deprection per unit (kWh)</t>
  </si>
  <si>
    <t>Energy Delivered kWh</t>
  </si>
  <si>
    <t>Low voltage lines and cables</t>
  </si>
  <si>
    <t>Underground Conduit</t>
  </si>
  <si>
    <t>Customer meters and load control</t>
  </si>
  <si>
    <t>Communication equipment</t>
  </si>
  <si>
    <t>Emergency spares (major plant, excludes inventory)</t>
  </si>
  <si>
    <t>Equity raising costs</t>
  </si>
  <si>
    <t>Foundations/Civils works/site preparation</t>
  </si>
  <si>
    <t>Cumulative Tariffed Energy Delivered</t>
  </si>
  <si>
    <t>Replaced</t>
  </si>
  <si>
    <t>Inverter</t>
  </si>
  <si>
    <t>Dx/Rx/Metering</t>
  </si>
  <si>
    <t>Debt raising costs</t>
  </si>
  <si>
    <t>J. Unsubsidised Revenue Requirement</t>
  </si>
  <si>
    <t>K. Subsidised Revenue Requirement</t>
  </si>
  <si>
    <t>L. Required Subsidy Revenue Req</t>
  </si>
  <si>
    <t>Cost reflective Tariff annual calculation</t>
  </si>
  <si>
    <t>Subsidized Tariff annual calculation</t>
  </si>
  <si>
    <t>Subsidized tariff as LCOE</t>
  </si>
  <si>
    <t>Required Subsidy annual calculation</t>
  </si>
  <si>
    <t>Sum of RAB + WC (Cost reflective)</t>
  </si>
  <si>
    <t>Sum of RAB + WC (excluding Subsidy)</t>
  </si>
  <si>
    <t>F. Debt Return/Interest</t>
  </si>
  <si>
    <t>H1. Total Return on Capital (Cost reflective)</t>
  </si>
  <si>
    <t>I1. Tax Allowance(Cost reflective)</t>
  </si>
  <si>
    <t>H2. Total Return on Capital (Minus Subsidy)</t>
  </si>
  <si>
    <t>I2. Tax Allowance(Minus subsidy)</t>
  </si>
  <si>
    <t>National Average/Technology cap Tariff</t>
  </si>
  <si>
    <t>Inflation/Expenses Escalation Rate p.a.</t>
  </si>
  <si>
    <t>Interest During Construction/Investment Cost</t>
  </si>
  <si>
    <t>PVIF</t>
  </si>
  <si>
    <t>Investment + O&amp;M + Fuel</t>
  </si>
  <si>
    <t>Cost Reflective Tariff as LCOE</t>
  </si>
  <si>
    <t>Subsidized Tariff as LCOE</t>
  </si>
  <si>
    <t>Present Value of Tariffed Energy Delivered</t>
  </si>
  <si>
    <t>Present Value of Inv + O&amp;M + Fuel</t>
  </si>
  <si>
    <t>Present Value of Required Subsidy</t>
  </si>
  <si>
    <t>Required Subsidy PV calculation</t>
  </si>
  <si>
    <t>Present Value of Subsidy</t>
  </si>
  <si>
    <t>Off-Peak</t>
  </si>
  <si>
    <t>Peak</t>
  </si>
  <si>
    <t>Residential</t>
  </si>
  <si>
    <t>Business</t>
  </si>
  <si>
    <t>Institutions</t>
  </si>
  <si>
    <t>Proxy of Peak Demand Energy Sales</t>
  </si>
  <si>
    <t>Anchor</t>
  </si>
  <si>
    <t>Cost Reflective</t>
  </si>
  <si>
    <t>Tariff Factor</t>
  </si>
  <si>
    <t>Energy Consumption</t>
  </si>
  <si>
    <t>Time</t>
  </si>
  <si>
    <t>Total in kW</t>
  </si>
  <si>
    <t>Notes</t>
  </si>
  <si>
    <t>d) Inclining Block Tariff</t>
  </si>
  <si>
    <t>b) Demand charge</t>
  </si>
  <si>
    <t>c) ToU</t>
  </si>
  <si>
    <t>Fixed charge per month</t>
  </si>
  <si>
    <t>Cost reflective price to peak price ratio</t>
  </si>
  <si>
    <t>Annual Total</t>
  </si>
  <si>
    <t>O&amp;M</t>
  </si>
  <si>
    <t>Total Customer Metering &amp; Account Costs</t>
  </si>
  <si>
    <t>Number of Customers</t>
  </si>
  <si>
    <t>Revenue from Fixed Charge</t>
  </si>
  <si>
    <t>No. of Customers</t>
  </si>
  <si>
    <t>Fixed Charge Per Customer Per Month</t>
  </si>
  <si>
    <t>Metering and Retail/Reticulation</t>
  </si>
  <si>
    <t>Future Value Interest Factor (FVIF)</t>
  </si>
  <si>
    <t>Valuation</t>
  </si>
  <si>
    <t>Generation Capital Cost</t>
  </si>
  <si>
    <t>Income (Tariff x Energy Delivered)</t>
  </si>
  <si>
    <t>Other Income (Subsidy)</t>
  </si>
  <si>
    <t>Earnings Before Interest and Taxes (EBIT)</t>
  </si>
  <si>
    <t>Taxable Income</t>
  </si>
  <si>
    <t>Net Income after taxes</t>
  </si>
  <si>
    <t>Earnings before Int, Tax. Depr, &amp; Amm (EBITDA)</t>
  </si>
  <si>
    <t>EBITDA</t>
  </si>
  <si>
    <t>Retained earnings</t>
  </si>
  <si>
    <t>Bad debts written off</t>
  </si>
  <si>
    <t>Equity IRR</t>
  </si>
  <si>
    <t>Project NPV</t>
  </si>
  <si>
    <t>CoS Costs Allocation</t>
  </si>
  <si>
    <t>Debt interest rate</t>
  </si>
  <si>
    <t>Corporate Income Tax Rate</t>
  </si>
  <si>
    <t xml:space="preserve">     Accumulated Depreciation</t>
  </si>
  <si>
    <t>C1. Regulated Asset Base (RAB) Investment</t>
  </si>
  <si>
    <t>C2.Cumulative RAB Investment</t>
  </si>
  <si>
    <t>Total Valuation of Gx, Dx, Rx</t>
  </si>
  <si>
    <t>Version:</t>
  </si>
  <si>
    <t>Customer Classes/Categories</t>
  </si>
  <si>
    <t>Cost reflective tariff as Year One LCOE + Escalation</t>
  </si>
  <si>
    <t>Plant lifetime total O&amp;M Costs</t>
  </si>
  <si>
    <t>Project Cash Flows</t>
  </si>
  <si>
    <t>Debt Service Cover Ratio</t>
  </si>
  <si>
    <t>Note: For operating cash flows, the direct method of presentation is encouraged, but the indirect method is acceptable [IAS 7.18]</t>
  </si>
  <si>
    <t>Total Project Free Cash Flows</t>
  </si>
  <si>
    <t>Interest Cover Ratio</t>
  </si>
  <si>
    <t>CFADS</t>
  </si>
  <si>
    <t>Note: CFADS = EBITDA  +/-  changes in working capital  +/-  corporation tax  +/-  capex  +/-  dividends.</t>
  </si>
  <si>
    <t>Payback cumulative cashflows</t>
  </si>
  <si>
    <t>Payback Period</t>
  </si>
  <si>
    <t>Payback Period Fraction Calculation</t>
  </si>
  <si>
    <t>BEP in kWh</t>
  </si>
  <si>
    <t>Variable O&amp;M Expenses</t>
  </si>
  <si>
    <t>Contribution margin</t>
  </si>
  <si>
    <t>Fixed O&amp;M Expenses</t>
  </si>
  <si>
    <t>Contribution margin per kWh</t>
  </si>
  <si>
    <t>Total fixed costs</t>
  </si>
  <si>
    <t>Debt to Equity</t>
  </si>
  <si>
    <r>
      <t>Debt Finance/</t>
    </r>
    <r>
      <rPr>
        <sz val="10"/>
        <color rgb="FFFF0000"/>
        <rFont val="Calibri"/>
        <family val="2"/>
        <scheme val="minor"/>
      </rPr>
      <t>-Debt Principal repayment</t>
    </r>
  </si>
  <si>
    <r>
      <t>Dividend paid-</t>
    </r>
    <r>
      <rPr>
        <sz val="10"/>
        <color rgb="FFFF0000"/>
        <rFont val="Calibri"/>
        <family val="2"/>
        <scheme val="minor"/>
      </rPr>
      <t>payout to maintain 70:30 structure</t>
    </r>
  </si>
  <si>
    <t>Debt to total capital</t>
  </si>
  <si>
    <t>Equity to total capital</t>
  </si>
  <si>
    <t>Dividend payout ratio</t>
  </si>
  <si>
    <t>Land</t>
  </si>
  <si>
    <t>Available cash balance for the year</t>
  </si>
  <si>
    <t>Dividends paid</t>
  </si>
  <si>
    <t>Intangible Assets</t>
  </si>
  <si>
    <t>Capital Structure/Gearing Ratios</t>
  </si>
  <si>
    <t>Total Intangible Assets</t>
  </si>
  <si>
    <t>A. Depreciation &amp; Ammort-Straightline</t>
  </si>
  <si>
    <t>A. Depreciation &amp; Ammort-Units of Outputs</t>
  </si>
  <si>
    <t>Accumulated Depreciation &amp; Ammortization</t>
  </si>
  <si>
    <t>Asset capital grant/subsidy received</t>
  </si>
  <si>
    <t>Load Profile By Customer Class/Category (kW)</t>
  </si>
  <si>
    <t>Depreciation &amp; ammortization</t>
  </si>
  <si>
    <t>Fixed charge=Customer Metering &amp; Account Costs</t>
  </si>
  <si>
    <t>Intended Primary Users:</t>
  </si>
  <si>
    <t>Salaries, Spares, Fuel and Interest Payment</t>
  </si>
  <si>
    <t>Number of days</t>
  </si>
  <si>
    <t>Working capital days</t>
  </si>
  <si>
    <t>Specified items or BS Method</t>
  </si>
  <si>
    <t>+ means you increase tariff and - means you reduce tariff</t>
  </si>
  <si>
    <t>Shs/kWh</t>
  </si>
  <si>
    <t>FX Rate at tariff application/last quarter</t>
  </si>
  <si>
    <t>FX Rate actual during trading quarter</t>
  </si>
  <si>
    <t>Consumer Connections/Demand Growth Rate</t>
  </si>
  <si>
    <t># of customers</t>
  </si>
  <si>
    <t>Households</t>
  </si>
  <si>
    <t>Return on Assets (ROA)</t>
  </si>
  <si>
    <t>Return on Investment (ROI)</t>
  </si>
  <si>
    <t>Statement of Profit or Loss &amp; other Comprehensive Income</t>
  </si>
  <si>
    <t>Section</t>
  </si>
  <si>
    <t>Fossil Fuel Generator</t>
  </si>
  <si>
    <t>Explanation on how and what to populate in the Section</t>
  </si>
  <si>
    <t>This is an line is automatic summation and therefore no entry required</t>
  </si>
  <si>
    <t>The user should capture the cost amounts inclusive of VAT paid minus any VAT remissions allowed and received. The entries can only be made in the cells along the Generation Column. No entries can be made in the cells along the Grid (Distribution, Metering and Reticulation Columns)</t>
  </si>
  <si>
    <t>The user should capture the cost amounts inclusive of VAT paid minus any VAT remissions allowed and received. The entries can only be made in the cells under the Grid Column (Distribution, Metering and Reticulation). No entries can be made in the cells under the Generation Column</t>
  </si>
  <si>
    <t>The user should enter the construction period in number of months that it will take from commencement of construction until commercial operation date(COD) of the plant. IDC is then automatically calculated</t>
  </si>
  <si>
    <t>The user should enter the costs for raising equity capital</t>
  </si>
  <si>
    <t>This section allows the user to populate the capital expenditure for the MG by each generation technology. The user is allowed to populate for more than one technology for a hybrid MG.</t>
  </si>
  <si>
    <t>The user should first choose the units between kW and MW from the drop-down menu. The user should then enter MG project capacity figures as per the cells provided</t>
  </si>
  <si>
    <t>For imported goods and services priced in foreign currency, the cost amounts should be converted from foreign currency to local (Shs) currency using the same foreign exchange (FX) rate used on the Kenya Revenue Authority (KRA) import declaration forms or as may be directed by ERC, e.g. using Central Bank (CBK) of Kenya mean rate. 
Outstanding foreign currency (FX) expenditure and loans should also be converted into local currency as above.
A record should then be maintained of these foreign currency balances for purposes of foreign currency gains/losses adjustment to the tariff as provided for in the TAM (see explanation later in this User Guide)</t>
  </si>
  <si>
    <t>Provide regulatory certainty, consistency, predictability and efficiency to MGs developers, investors and consumers alike in tariff applications for mini-grids electrification</t>
  </si>
  <si>
    <t>4.1.1 Solar Generation (Gx)</t>
  </si>
  <si>
    <t>4.1.2 Wind Gx</t>
  </si>
  <si>
    <t>4.1 Capital Costs Details</t>
  </si>
  <si>
    <t>4.1.3 Fossil Fuels Gx</t>
  </si>
  <si>
    <t>4.1.4 Micro, Mini and Small Hydro Gx</t>
  </si>
  <si>
    <t>4.1.5 Biomass Gx</t>
  </si>
  <si>
    <t>4.1.10 Interest During Construction (IDC)</t>
  </si>
  <si>
    <t>4.1.11 Intangible Assets (Financing-Related)</t>
  </si>
  <si>
    <t>4.1.12 Asset Replacements/Refurbishments</t>
  </si>
  <si>
    <t>4.1.13 Depreciation/Amortisation</t>
  </si>
  <si>
    <t>• The user should first decide on their preferred method of depreciation [a] Straight-line; or [b] Units of output
• For the Straight-line method, the user must enter the economic useful life of the assets in the relevant column against the asset cost row
• For the Units of output method, the depreciation will be calculated automatically by the model, using the kWh sales</t>
  </si>
  <si>
    <t>4.2 Tariff Inputs (Building Blocks)</t>
  </si>
  <si>
    <t>4.2.1 Project Capacity Factor</t>
  </si>
  <si>
    <t>4.2.2 Depreciation</t>
  </si>
  <si>
    <t>4.2.3 Operating and Maintenance Expenses</t>
  </si>
  <si>
    <r>
      <t xml:space="preserve">4.2.6 Working Capital </t>
    </r>
    <r>
      <rPr>
        <b/>
        <sz val="10"/>
        <color rgb="FFFF0000"/>
        <rFont val="Calibri"/>
        <family val="2"/>
        <scheme val="minor"/>
      </rPr>
      <t>(Restricted due to pre-paid metering)</t>
    </r>
  </si>
  <si>
    <t>4.2.7 Debt term-sheet</t>
  </si>
  <si>
    <t>4.2.8 Financing (Capital Structure, WACC, Dividends)</t>
  </si>
  <si>
    <t>4.2.9 Economic Data</t>
  </si>
  <si>
    <t>4.2.10 Tariff Structuring Inputs</t>
  </si>
  <si>
    <r>
      <t>4.2.11 Forex Volatility Adjustment</t>
    </r>
    <r>
      <rPr>
        <b/>
        <sz val="10"/>
        <color rgb="FFFF0000"/>
        <rFont val="Calibri"/>
        <family val="2"/>
        <scheme val="minor"/>
      </rPr>
      <t>(Not embedded in the tariff)</t>
    </r>
  </si>
  <si>
    <t>Anchor customer sales must meet certain fixed costs e.g. interest on debt payment/capacity payments</t>
  </si>
  <si>
    <r>
      <t xml:space="preserve">4.2.12 Capacity Commissioning Phased-in </t>
    </r>
    <r>
      <rPr>
        <b/>
        <sz val="10"/>
        <color rgb="FFFF0000"/>
        <rFont val="Calibri"/>
        <family val="2"/>
        <scheme val="minor"/>
      </rPr>
      <t>(Not used in modelling)</t>
    </r>
  </si>
  <si>
    <t>4.4 Load Profile</t>
  </si>
  <si>
    <t>4.4.1 Load Profile By Customer Class/Category (kW)</t>
  </si>
  <si>
    <t>Financial Performance Metrics</t>
  </si>
  <si>
    <t>Metric</t>
  </si>
  <si>
    <t>Quantum</t>
  </si>
  <si>
    <t>5-yrs average</t>
  </si>
  <si>
    <t>4.1.8 General Utility Property Plant &amp; Equipment</t>
  </si>
  <si>
    <t>A user may opt to allocate the General Utility Property Plant &amp; Equipment (PPE) to the functions (Gx and Grid) based on cost causation or benefits received</t>
  </si>
  <si>
    <t>Foreign currency loan/expenditure</t>
  </si>
  <si>
    <t>• Gx-The user should enter the name/type of generation asset on the year it is to be replaced/refurbished (e.g., battery, inverter as shown). The amount should be entered in the cell on the generation column
• Dx &amp; Rx - The user should enter the name/type of grid asset on the year it is to be replaced/refurbished. The amount should be entered in the cell on the grid column</t>
  </si>
  <si>
    <t>4.1</t>
  </si>
  <si>
    <t>4.1.6 Distribution (Dx)</t>
  </si>
  <si>
    <t>4.1.7 Retail Metering and Reticulation (Rx)</t>
  </si>
  <si>
    <t>4.1.1 - 4.1.5</t>
  </si>
  <si>
    <t>4.1.6</t>
  </si>
  <si>
    <t>4.1.7</t>
  </si>
  <si>
    <t>4.1.8</t>
  </si>
  <si>
    <t>4.1.9</t>
  </si>
  <si>
    <t>4.1.10</t>
  </si>
  <si>
    <t>4.1.11</t>
  </si>
  <si>
    <t>4.1.12</t>
  </si>
  <si>
    <t>4.1.13</t>
  </si>
  <si>
    <t>4.2</t>
  </si>
  <si>
    <t>4.2.1</t>
  </si>
  <si>
    <t>4.2.2</t>
  </si>
  <si>
    <t>4.2.3</t>
  </si>
  <si>
    <t>4.4</t>
  </si>
  <si>
    <t>4.3</t>
  </si>
  <si>
    <t>4.2.11</t>
  </si>
  <si>
    <t>4.2.10</t>
  </si>
  <si>
    <t>4.2.9</t>
  </si>
  <si>
    <t>4.2.8</t>
  </si>
  <si>
    <t>4.2.7</t>
  </si>
  <si>
    <t>4.2.6</t>
  </si>
  <si>
    <t>4.2.4</t>
  </si>
  <si>
    <t>4.3.1 Disbursement Profile to the Supplier/Contractor During Construction</t>
  </si>
  <si>
    <t>Month of Disbursement During Construction</t>
  </si>
  <si>
    <t>Availability</t>
  </si>
  <si>
    <t>There are no inputs required on this calculator tab. The calculator tab is linked to all inputs tabs already entered. The following calculations automatically performed can be viewed on this calculator tab:
1) The tariffed energy delivered annually for the entire MG useful life
2) Total allowable revenue comprising of expenses + depreciation + return on capital + tax allowance
3) Cost reflective tariff
4) Subsidised tariff
5) Subsidy required amount to reach parity with technology-specific least cost tariff
6) MG asset valuation upon arrival of the national grid
The above outputs are also displayed in the Outputs Summary tab</t>
  </si>
  <si>
    <t>5.1 Tariff Calculator</t>
  </si>
  <si>
    <t>5.3 Financials</t>
  </si>
  <si>
    <t>5.2.1 Loan repayment schedule</t>
  </si>
  <si>
    <t>There are no inputs required on this financials tab. The financials tab is linked to all inputs tabs already entered. The following calculations automatically performed on the financials tab can be viewed on this tab:
1) Statement of Profit or Loss &amp; Other Comprehensive Income
2) Project Cash Flows
3) Project NPV, Equity IRR And Payback Period, Break-Even Point (BEP) In Kwh
4) Debt Service Cover Ratio and Other Liquidity Ratios
5) Capital Structure
6) Statement of Financial Position
Some of the above financial performance metrics are also displayed in the Outputs Summary tab</t>
  </si>
  <si>
    <t>The user cannot enter inputs in this section. The cells are linked to other inputs for automatic calculations</t>
  </si>
  <si>
    <t>5.1</t>
  </si>
  <si>
    <t>5.2</t>
  </si>
  <si>
    <t>5.3</t>
  </si>
  <si>
    <t>6.1 Output Summary</t>
  </si>
  <si>
    <t>6.2</t>
  </si>
  <si>
    <t>6.1</t>
  </si>
  <si>
    <t>• The user should enter the % of loan drawn at each month based on estimated percentage of completion of project construction. This is necessary for the calculation of interest (financing) during construction
• The total % over the drawn down period should not exceed 100%
• The Loans drawdown schedule generates outputs displayed within the tab and used as inputs in the tariff calculator tab as well as in the financials tab</t>
  </si>
  <si>
    <t>The user should select the preferred method of depreciation using “Yes” or “No” from the dropdown menu</t>
  </si>
  <si>
    <t>Pre-paid metering reduces the requirements for working capital. Hence the user does not need to enter any inputs for working capital. Instead, working capital is restricted to selected items and number of days</t>
  </si>
  <si>
    <t>The user should input the annual percentage rate (APR) (%), the tenor of the loan (years) and the debt origination cost (as % of the total loan)</t>
  </si>
  <si>
    <t>• The user should enter the % of equity funding. Debt % is residual.
• ERC expects the utility to average a capital structure comprising of at least 70% debt and 30% equity. 
• The user should also insert the expected dividends payout.</t>
  </si>
  <si>
    <t>The user should enter the following inputs:
1) Corporate Income tax rate % as per KRA rates
2) Inflation rate (Kenya) 
3) Foreign exchange rate – from the sources recommended by ERC
4) Customer connections/demand growth</t>
  </si>
  <si>
    <t>The user should enter the following inputs
1) Technology-specific tariff cap input: – the user should enter the generation-technology specific tariff in the least cost electricity development master plan
2) The proxy of peak demand sales input: - the user should enter the total % sales made at peak demand
3) Total system average costs and peaking plant costs ratio input: - the user should enter this % based on historical experience and/or a cost of service study (COS). It is expected that expensive generation and/or back up batteries are required to meet this peak demand load.
4) Customer classes/category input: the user should enter:
a. The number of consumers per customer class
b. The % of costs attributable each customer class.  The user should enter this % cost attribution based on historical experience and/or a cost of service study (COS)</t>
  </si>
  <si>
    <t>The user should enter the load profile for each of the customer classes defined in the Tariffs Input tab</t>
  </si>
  <si>
    <t>4.1.9 Total Project Capital Costs</t>
  </si>
  <si>
    <t>Biomass Conversion Unit</t>
  </si>
  <si>
    <t>Biogas/Syngas Processing Unit</t>
  </si>
  <si>
    <t>Day total</t>
  </si>
  <si>
    <t>KES/Month</t>
  </si>
  <si>
    <t>A summary of the core variables is provided and the user is allowed to increase or decrease these core variables to see how it would change tariffs. The user can create a best case scenario, expected case scenario and worst case scenarios. Results of the multiple scenarios may be compared here by using the "copy" and "paste special - values" feature to transfer values from the Output Summary tab into this Sensitivity Analysis tab</t>
  </si>
  <si>
    <t>Customer Metering &amp; Account Costs</t>
  </si>
  <si>
    <t>6.2.2 Best Case Scenario</t>
  </si>
  <si>
    <t>6.2.1 Worst Case Scenario</t>
  </si>
  <si>
    <r>
      <t>2.</t>
    </r>
    <r>
      <rPr>
        <sz val="7"/>
        <color theme="1"/>
        <rFont val="Times New Roman"/>
        <family val="1"/>
      </rPr>
      <t xml:space="preserve">       </t>
    </r>
    <r>
      <rPr>
        <sz val="11"/>
        <color theme="1"/>
        <rFont val="Calibri"/>
        <family val="2"/>
        <scheme val="minor"/>
      </rPr>
      <t>Capacity/load factors - increase or decrease</t>
    </r>
  </si>
  <si>
    <r>
      <t>3.</t>
    </r>
    <r>
      <rPr>
        <sz val="7"/>
        <color theme="1"/>
        <rFont val="Times New Roman"/>
        <family val="1"/>
      </rPr>
      <t xml:space="preserve">       </t>
    </r>
    <r>
      <rPr>
        <sz val="11"/>
        <color theme="1"/>
        <rFont val="Calibri"/>
        <family val="2"/>
        <scheme val="minor"/>
      </rPr>
      <t>Annual operating and maintenance expenses increase or decrease</t>
    </r>
  </si>
  <si>
    <r>
      <t>1.</t>
    </r>
    <r>
      <rPr>
        <sz val="7"/>
        <color theme="1"/>
        <rFont val="Times New Roman"/>
        <family val="1"/>
      </rPr>
      <t xml:space="preserve">       </t>
    </r>
    <r>
      <rPr>
        <sz val="11"/>
        <color theme="1"/>
        <rFont val="Calibri"/>
        <family val="2"/>
        <scheme val="minor"/>
      </rPr>
      <t>Initial project capital costs - increase or decrease</t>
    </r>
  </si>
  <si>
    <r>
      <t>4.</t>
    </r>
    <r>
      <rPr>
        <sz val="7"/>
        <color theme="1"/>
        <rFont val="Times New Roman"/>
        <family val="1"/>
      </rPr>
      <t xml:space="preserve">       </t>
    </r>
    <r>
      <rPr>
        <sz val="11"/>
        <color theme="1"/>
        <rFont val="Calibri"/>
        <family val="2"/>
        <scheme val="minor"/>
      </rPr>
      <t>WACC/Discount Factor - Change cost of debt and/or expected return on equity</t>
    </r>
  </si>
  <si>
    <r>
      <t>5.</t>
    </r>
    <r>
      <rPr>
        <sz val="7"/>
        <color theme="1"/>
        <rFont val="Times New Roman"/>
        <family val="1"/>
      </rPr>
      <t xml:space="preserve">       </t>
    </r>
    <r>
      <rPr>
        <sz val="11"/>
        <color theme="1"/>
        <rFont val="Calibri"/>
        <family val="2"/>
        <scheme val="minor"/>
      </rPr>
      <t>Operating life of the plant investment increase or decrease</t>
    </r>
  </si>
  <si>
    <r>
      <t>6.</t>
    </r>
    <r>
      <rPr>
        <sz val="7"/>
        <color theme="1"/>
        <rFont val="Times New Roman"/>
        <family val="1"/>
      </rPr>
      <t xml:space="preserve">       </t>
    </r>
    <r>
      <rPr>
        <sz val="11"/>
        <color theme="1"/>
        <rFont val="Calibri"/>
        <family val="2"/>
        <scheme val="minor"/>
      </rPr>
      <t>Customer demand growth/connections - higher or lower</t>
    </r>
  </si>
  <si>
    <t>kWh projected sales for next period</t>
  </si>
  <si>
    <t>Financing and Contract (legal) Costs</t>
  </si>
  <si>
    <t>User Guide</t>
  </si>
  <si>
    <t>??</t>
  </si>
  <si>
    <t>Standard Tariff Application Model (TAM) for Mini-Grids</t>
  </si>
  <si>
    <t>The TAM consists of 10 sheets:</t>
  </si>
  <si>
    <t>Guide</t>
  </si>
  <si>
    <t>Capital Cost Details</t>
  </si>
  <si>
    <t>Tariff Inputs</t>
  </si>
  <si>
    <t>Load Profile</t>
  </si>
  <si>
    <t>Tariff Calculator</t>
  </si>
  <si>
    <t>Loan Repayment</t>
  </si>
  <si>
    <t>Loan Drawdown</t>
  </si>
  <si>
    <t>Financials</t>
  </si>
  <si>
    <t>Output Summary</t>
  </si>
  <si>
    <t>Sensitivity</t>
  </si>
  <si>
    <t>The following color codes apply:</t>
  </si>
  <si>
    <t>text</t>
  </si>
  <si>
    <t>Use:</t>
  </si>
  <si>
    <t>Purpose:</t>
  </si>
  <si>
    <t>ERC Approval Date:</t>
  </si>
  <si>
    <t>Effective Date:</t>
  </si>
  <si>
    <t>This sheet offers an overview of the Tariff Application Model.</t>
  </si>
  <si>
    <t>These are calculation sheets. They can be reviewed but no changes can be made. They merely serve to calculate the outputs.</t>
  </si>
  <si>
    <t xml:space="preserve">This user guide gives an overview of the TAM. It explains how to operate the TAM, enter inputs, and how to obtain, understand and use the results. This user guide within the excel model is a shortened version of the longer and more elaborate user guide (PDF document). 
</t>
  </si>
  <si>
    <t>Input cell</t>
  </si>
  <si>
    <t>Calculation</t>
  </si>
  <si>
    <t>Check/Input</t>
  </si>
  <si>
    <t>The cell contains a control value or formula or logic to validate the entries preceeding this cell.</t>
  </si>
  <si>
    <t>Linked Cell</t>
  </si>
  <si>
    <t>Only in these cells input is required, all other cells cannot be edited.</t>
  </si>
  <si>
    <t>Output cell</t>
  </si>
  <si>
    <t>Note</t>
  </si>
  <si>
    <t>1)</t>
  </si>
  <si>
    <t>2)</t>
  </si>
  <si>
    <t>3)</t>
  </si>
  <si>
    <t>Outstanding foreign currency loans should be converted into local currency using foreign exchange rate from sources approved by ERC</t>
  </si>
  <si>
    <t>Comments on Currencies</t>
  </si>
  <si>
    <t>Overview of Standard Tariff Application Model Tabs</t>
  </si>
  <si>
    <t>The follow table offers an overview of the various sheets and sections of the TAM, as well as explanations on how to populate the sections. The links allow to directly jump to the respective section.</t>
  </si>
  <si>
    <t>Section in User Guide</t>
  </si>
  <si>
    <r>
      <t xml:space="preserve">Asset Name/Description
</t>
    </r>
    <r>
      <rPr>
        <sz val="10"/>
        <color theme="1"/>
        <rFont val="Calibri"/>
        <family val="2"/>
        <scheme val="minor"/>
      </rPr>
      <t>see examples below (inverter, battery, etc)</t>
    </r>
  </si>
  <si>
    <t>Expenditure paid in foreign currency should be converted from foreign currency to local (Shs) currency using the same foreign exchange (FX) rate used on the Kenya Revenue Authority (KRA) import declaration forms</t>
  </si>
  <si>
    <t>Cost type</t>
  </si>
  <si>
    <t>4.1 Capital Cost Details</t>
  </si>
  <si>
    <t>4.3 Loan Drawdown</t>
  </si>
  <si>
    <t>• A time-of-use energy charge is another alternative which can be set up to be equivalent to a demand charge.
• The fixed charge for customers with time-of-use energy charges also vary with the chosen maximum demand level.
• ToU could be levied based on the size of the customer’s connection, or based on a proxy for peak demand. Peak demand could be imputed using load research studies, or estimated on the basis of observable characteristics such as the size of the house.</t>
  </si>
  <si>
    <t>• a) &gt;50kwh an inclining-block structure for the variable charge where all of the blocks are above cost (the fixed and demand charges remain cost-based).
• b) &lt;50kwh  an inclining block structure for the variable charge where the first block(s) are below cost (the fixed and demand charges for the first block(s) are also below cost).
• The results of this system are that customers with the smallest consumption pay tariffs that are below cost (and, correspondingly, customers consuming more pay above cost). Furthermore, the inclining block structure provides an incentive to improve energy efficiency.
• Low use consumers are often interpreted as low income customers even though there is no strong empirical evidence on that correlation. But  this argument for IBT is nevertheless still presented when the case is made for inclining block tariffs.
• It is argued that the first block is below average costs to protect the well-being of the vulnerable customers. It is also argued that the last block is above average costs to promote energy efficiency.</t>
  </si>
  <si>
    <t>• LRMC represents the rate at which costs change as demand is added.
• a) Once the LRMCs have been estimated, the demand charge would be set so it captures a portion of the LRMC and the volumetric customer charge is set to capture the balance while the customer charge is set to recover residual cost.
• b) The demand charge could be set to recover all of the LRMC, with the recovery of residual costs split between the customer charge and the volumetric charge.</t>
  </si>
  <si>
    <t>• Ramsey pricing recovers the difference between LRMC and average cost in inverse proportion to elasticity. Thus, residual costs are recovered disproportionately from inelastic consumption.
• It raise prices by a greater proportionate amount for customers with inelastic demands and a lesser amount for customers with elastic demands.
• Athough there is no emphirical evidence but presumed low consumers have less price elasticity than high consumers.</t>
  </si>
  <si>
    <t>• Is the simplest option in which the residual costs would be recovered by raising the volumetric charge above LRMC by the same amount for all customers.</t>
  </si>
  <si>
    <t>Scenarios</t>
  </si>
  <si>
    <t>5.2 Loan Repayment</t>
  </si>
  <si>
    <t>Energy Delivered:</t>
  </si>
  <si>
    <t>Subsidized Tariff</t>
  </si>
  <si>
    <t>Required Subsidy</t>
  </si>
  <si>
    <t>Two Part cost-reflective tariff</t>
  </si>
  <si>
    <t>Tariff calculations:</t>
  </si>
  <si>
    <t>Asset Valuation on Arrival of National Grid:</t>
  </si>
  <si>
    <t xml:space="preserve">                                    Tariff structure
Billing methodology</t>
  </si>
  <si>
    <t xml:space="preserve">     Non-current assets</t>
  </si>
  <si>
    <t xml:space="preserve">     Total non-current assets</t>
  </si>
  <si>
    <t xml:space="preserve">     Current assets</t>
  </si>
  <si>
    <t xml:space="preserve">     Total current assets</t>
  </si>
  <si>
    <t>Property Plant &amp; Equipment (tangible &amp; intangible)</t>
  </si>
  <si>
    <t>(as end of each year)</t>
  </si>
  <si>
    <t>Capital Reserves &amp; Liabilities</t>
  </si>
  <si>
    <t xml:space="preserve">     Owners' Capital Reserves &amp; Liabilities</t>
  </si>
  <si>
    <t xml:space="preserve">     Total Owners' Capital Reserves</t>
  </si>
  <si>
    <t xml:space="preserve">     Non-current liabilities</t>
  </si>
  <si>
    <t xml:space="preserve">     Total non-current liabilities</t>
  </si>
  <si>
    <t xml:space="preserve">     Current liabilities</t>
  </si>
  <si>
    <t xml:space="preserve">     Total current liabilities</t>
  </si>
  <si>
    <r>
      <rPr>
        <sz val="10"/>
        <color rgb="FFFF0000"/>
        <rFont val="Calibri"/>
        <family val="2"/>
        <scheme val="minor"/>
      </rPr>
      <t>-Equity Finance</t>
    </r>
    <r>
      <rPr>
        <sz val="10"/>
        <color theme="1"/>
        <rFont val="Calibri"/>
        <family val="2"/>
        <scheme val="minor"/>
      </rPr>
      <t>/Free Cash Flows to Equity</t>
    </r>
  </si>
  <si>
    <t>NPV, IRR and payback period</t>
  </si>
  <si>
    <t>Return on Assets and Investment</t>
  </si>
  <si>
    <t>BEP</t>
  </si>
  <si>
    <t>Debt service and interest cover ratios and cashflow available</t>
  </si>
  <si>
    <r>
      <t xml:space="preserve">These are </t>
    </r>
    <r>
      <rPr>
        <b/>
        <sz val="11"/>
        <color theme="1"/>
        <rFont val="Calibri"/>
        <family val="2"/>
        <scheme val="minor"/>
      </rPr>
      <t>Input sheets.</t>
    </r>
    <r>
      <rPr>
        <sz val="11"/>
        <color theme="1"/>
        <rFont val="Calibri"/>
        <family val="2"/>
        <scheme val="minor"/>
      </rPr>
      <t xml:space="preserve"> </t>
    </r>
    <r>
      <rPr>
        <u/>
        <sz val="11"/>
        <color theme="1"/>
        <rFont val="Calibri"/>
        <family val="2"/>
        <scheme val="minor"/>
      </rPr>
      <t>Only in these sheets input is required</t>
    </r>
    <r>
      <rPr>
        <sz val="11"/>
        <color theme="1"/>
        <rFont val="Calibri"/>
        <family val="2"/>
        <scheme val="minor"/>
      </rPr>
      <t xml:space="preserve"> from applicants.</t>
    </r>
  </si>
  <si>
    <t>The cell contains a formula for calculation. The user need not enter values in these cells.</t>
  </si>
  <si>
    <t>Outputs calculated using the input given.</t>
  </si>
  <si>
    <t>The cell is linked to another cells in the same tab or another tab in this model.</t>
  </si>
  <si>
    <t>Provides a note to assist the user in populatin the cell or understanding the input required.</t>
  </si>
  <si>
    <t>Descriptions and information, explanatory text.</t>
  </si>
  <si>
    <t xml:space="preserve">     Customer Payments for Connection</t>
  </si>
  <si>
    <t>Customer payments for connection</t>
  </si>
  <si>
    <t>Income(Recurrent) grant/subsidy</t>
  </si>
  <si>
    <t>4.2.4 Subsidy/Grants/Contributions/Customers Payments for Connection</t>
  </si>
  <si>
    <t>The user should enter the grant amounts received against the year of receipt. Grant used for purchase of equipment or customer connections should be entered on the capital grants line. Connection charges paid by customers should be entered in the customers' payments for connection line</t>
  </si>
  <si>
    <t>6.2 Sensitivity Analysis (Worst &amp; Best Case Scenarios)</t>
  </si>
  <si>
    <t>Fuel handling</t>
  </si>
  <si>
    <t>Fuel preparation</t>
  </si>
  <si>
    <t>a) Two-part  tariff (Z = a + b.y)</t>
  </si>
  <si>
    <t>Energy charge per Kwh</t>
  </si>
  <si>
    <t xml:space="preserve">a) Two-part tariff </t>
  </si>
  <si>
    <t>i) Fixed charge</t>
  </si>
  <si>
    <t>ii) Energy charge</t>
  </si>
  <si>
    <t>e) LRMC in Tariff Design</t>
  </si>
  <si>
    <t>f) RamseyPricing</t>
  </si>
  <si>
    <t>g) Postage Stamp Pricing</t>
  </si>
  <si>
    <t>• The demand charge is levied on the “size” of the connection to the network. The customer can choose the size of the connection, which then acts as a limit on the power (kW) that can be demanded at any point in time.
• Use load limiters - to limit the maximum power delivered to the customer. (demand above the chosen level is automatically cut off).
• The demand charge could also be based on actual peak consumption, consumption at system peak, the size of the connection, or some combination of these. Even without smart meters, peak demand could be imputed using load research studies, or a proxy for peak demand, or estimated on the basis of observable characteristics such as the size of the house.
• Demand charges allow recovery of fixed costs much better than any other mechanism and their magnitude can be determined by referring to the planning criteria of design day maximum demands.</t>
  </si>
  <si>
    <t>• Since most of the network costs are independent of kWh distributed, the energy charges would become much smaller (or zero) and revenue recovery would be mostly achieved through fixed and demand charges.
• There would be no volumetric charge for distribution services since distribution costs do not vary with the amount of energy being supplied to the customers.</t>
  </si>
  <si>
    <t>• The fixed charge covers the cost of metering and some other customer-related costs.  Fixed charge could also depend on the demand level chosen. For  example, the lowest load connection costs about Shs150 per month, intermediate load connection will cost about 300 per month and the highest load connection costs about Shs500per month.</t>
  </si>
  <si>
    <t>• The first part would be a fixed monthly charge and the second part would be a energy and/or demand charge.
• Tariffs for customers have a fixed monthly charge that recovers metering and certain “account” costs, with the costs of the network entirely recovered through a volumetric charge.</t>
  </si>
  <si>
    <t>Pre-tax Nominal Cost</t>
  </si>
  <si>
    <t>KES/kWh</t>
  </si>
  <si>
    <t>Present Value of subsidy required to achieve the Gx technology Least Cost Development Plan Tariff or FiT</t>
  </si>
  <si>
    <t>Yr of Grid Arrival Sale</t>
  </si>
  <si>
    <t>IFRS 14 — Regulatory Deferral Accounts Balance</t>
  </si>
  <si>
    <t>Over-recoveries</t>
  </si>
  <si>
    <t>Under-recovery balances</t>
  </si>
  <si>
    <t>Input Summary</t>
  </si>
  <si>
    <t xml:space="preserve"> IFRS 14 — Regulatory Deferral Accounts Balances at time of Grid Arrival Sale</t>
  </si>
  <si>
    <t>Deferred net  balances</t>
  </si>
  <si>
    <t>Straight Tariff by customer category</t>
  </si>
  <si>
    <t>LCOE Tariff by customer category</t>
  </si>
  <si>
    <t>LCOE Tariff based on kWh</t>
  </si>
  <si>
    <t>Straight Tariff based on kWh</t>
  </si>
  <si>
    <t>Straight Tariff based on time of use</t>
  </si>
  <si>
    <t>b) LCOE One-part meter tariff (Z = b.y)</t>
  </si>
  <si>
    <t>b) Straight One-part meter tariff (Z = b.y)</t>
  </si>
  <si>
    <t>Final (27 September 2017)</t>
  </si>
  <si>
    <t>5-year average</t>
  </si>
  <si>
    <t>Energy charge KES/Kwh</t>
  </si>
  <si>
    <t>Straight two-part tariff</t>
  </si>
  <si>
    <t>Interest charges</t>
  </si>
  <si>
    <t>Five-year price path (Cost-Reflective)</t>
  </si>
  <si>
    <t>Straight one-part tariff in KES/kWh</t>
  </si>
  <si>
    <t>Fixed charge KES per month</t>
  </si>
  <si>
    <t>Five-year price path (Subsidised)</t>
  </si>
  <si>
    <t>Other Income (Customer payments for connections)</t>
  </si>
  <si>
    <t>Proportion of O&amp;M expenses to be escalated annually</t>
  </si>
  <si>
    <t>PVIF of Replacement Investments</t>
  </si>
  <si>
    <t>PVIF @ WACC</t>
  </si>
  <si>
    <t>Taxes, including taxes on Other Income</t>
  </si>
  <si>
    <t>Taxes paid, including taxes on Other Income</t>
  </si>
  <si>
    <t>Loan origination costs</t>
  </si>
  <si>
    <t>Equity NPV</t>
  </si>
  <si>
    <r>
      <t>Debt Finance</t>
    </r>
    <r>
      <rPr>
        <sz val="10"/>
        <color rgb="FFFF0000"/>
        <rFont val="Calibri"/>
        <family val="2"/>
        <scheme val="minor"/>
      </rPr>
      <t xml:space="preserve">/-Debt Interest </t>
    </r>
  </si>
  <si>
    <t>4.2.5</t>
  </si>
  <si>
    <t>4.1.12 Total Capital Replacements/Refurbishments</t>
  </si>
  <si>
    <t>Capital Costs</t>
  </si>
  <si>
    <t xml:space="preserve">The user should enter the amounts against the expenditure descprition line shown. The user should also enter the expected proportion (%) of the total O&amp;M expenses that are escalable year to year. </t>
  </si>
  <si>
    <t>4.2.5 Project Capital Costs &amp; IFRS 14 Regulatory Deferral Accounts Balances at the time of Grid Arrival Sale</t>
  </si>
  <si>
    <t>The TAM output provides the tariffs required by the MG project investor to cover all prudently incurred expenses as well as meet the investors’ return of capital and return on capital expectations over the MG project’s economic useful life. The TAM tariff outputs may be submitted as a tariff application to the ERC.
The various tariff scenarios provided include:
1) KES/kWh (nominal/straight versus levelized (LCOE) tariff). The nominal tariff is preferred by ERC as the tariff starts higher and declines over time. 
2) A two-part tariff versus a one-part tariff (nominal/straight versus LCOE). A two-part nominal/straight tariff comprising of a fixed charge and an energy is preferred by ERC.
3) Cost reflective tariffs versus subsidy required to achieve a certain level of generation technology specific tariff (e.g. from, the Least Cost Electricity Development Master Plan, or auction prices).
4) A 5-year forward looking price part for both cost reflective and subsidised nominal/straight two-part tariffs
5) A 10-year forward looking graph comparing the price part of nominal/straight tariff versus LCOE. LCOE tariff starts lower and increases over time while straight tariff starts higher and decreases over time, with kinks at points of assets refurbishments/ replacements.</t>
  </si>
  <si>
    <t>The functionalised summary of capital costs is automatically taken from the project capital costs tab. The model also provides for the user to guesstimate the probable date of grid arrival, and any incomes that will be under-recovered or over-recovered as at the time of grid arrival in accordance with International Financial Reporting Standards (IFRS) 14. This guesstimate is will be added or subtracted to the valuation of the MG at grid arrival should the MG investor(s) opt to sell the MG to the utility.</t>
  </si>
  <si>
    <t>Standard documents for MGs tariff application to ERC = All the printed and signed schedules of this TAM + Checklist documents provided by ERC in Section 7 of the User Guide on the ERC website</t>
  </si>
  <si>
    <t>To be used for all mini-grid tariff applications to the Energy &amp; Petroleum Regulatory Authority of Kenya (EPRA)</t>
  </si>
  <si>
    <t>Mini-grid developers, EPRA, electricity consumers and other interested stakeholders</t>
  </si>
  <si>
    <r>
      <t xml:space="preserve">Both, this TAM and its User Guide (PDF) are available for downloading from EPRA wesite link: </t>
    </r>
    <r>
      <rPr>
        <u/>
        <sz val="12"/>
        <color rgb="FF0070C0"/>
        <rFont val="Calibri"/>
        <family val="2"/>
        <scheme val="minor"/>
      </rPr>
      <t>www.epra.go.ke</t>
    </r>
  </si>
  <si>
    <t>These are output sheets. These outputs will be used for tariff application with EPRA.</t>
  </si>
  <si>
    <t>Periodically as approved by EPRA a Foreign Exchange Rate Fluctuation Adjustment (FERFA), for outstanding loans, will be calculated as illustrated in this TAM and the adjustment (+ or -) is made to the tariff as directed by EPRA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</si>
</sst>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_(* \(#,##0.00\);_(* &quot;-&quot;??_);_(@_)"/>
    <numFmt numFmtId="165" formatCode="#,##0_ ;[Red]\-#,##0\ "/>
    <numFmt numFmtId="166" formatCode="0.0%"/>
    <numFmt numFmtId="167" formatCode="[$USD]\ #,##0"/>
    <numFmt numFmtId="168" formatCode="[$$-409]#,##0"/>
    <numFmt numFmtId="169" formatCode="0.000%"/>
    <numFmt numFmtId="170" formatCode="#,##0.00_ ;[Red]\-#,##0.00\ "/>
    <numFmt numFmtId="171" formatCode="&quot;R&quot;#,##0.0000;[Red]\-&quot;R&quot;#,##0.0000"/>
    <numFmt numFmtId="172" formatCode="[$$-409]#,##0_ ;[Red]\-[$$-409]#,##0\ "/>
    <numFmt numFmtId="173" formatCode="#,##0.000_ ;[Red]\-#,##0.000\ "/>
    <numFmt numFmtId="174" formatCode="hh:mm;@"/>
    <numFmt numFmtId="175" formatCode="0.0"/>
    <numFmt numFmtId="176" formatCode="[$KES]\ #,##0;[Red]\-[$KES]\ #,##0"/>
    <numFmt numFmtId="177" formatCode="[$KES]\ #,##0.00"/>
    <numFmt numFmtId="178" formatCode="#,##0.00;[Red]#,##0.00"/>
    <numFmt numFmtId="179" formatCode="#,##0;[Red]#,##0"/>
    <numFmt numFmtId="180" formatCode="#,##0.00000_ ;[Red]\-#,##0.00000\ "/>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i/>
      <sz val="11"/>
      <color theme="1"/>
      <name val="Calibri"/>
      <family val="2"/>
      <scheme val="minor"/>
    </font>
    <font>
      <sz val="11"/>
      <color rgb="FF006100"/>
      <name val="Calibri"/>
      <family val="2"/>
      <scheme val="minor"/>
    </font>
    <font>
      <sz val="9"/>
      <color indexed="81"/>
      <name val="Tahoma"/>
      <family val="2"/>
    </font>
    <font>
      <b/>
      <sz val="9"/>
      <color indexed="81"/>
      <name val="Tahoma"/>
      <family val="2"/>
    </font>
    <font>
      <sz val="11"/>
      <color rgb="FF7030A0"/>
      <name val="Calibri"/>
      <family val="2"/>
      <scheme val="minor"/>
    </font>
    <font>
      <b/>
      <u/>
      <sz val="10"/>
      <color theme="1"/>
      <name val="Calibri"/>
      <family val="2"/>
      <scheme val="minor"/>
    </font>
    <font>
      <sz val="10"/>
      <color rgb="FF006100"/>
      <name val="Calibri"/>
      <family val="2"/>
      <scheme val="minor"/>
    </font>
    <font>
      <sz val="10"/>
      <color rgb="FFFF0000"/>
      <name val="Calibri"/>
      <family val="2"/>
      <scheme val="minor"/>
    </font>
    <font>
      <sz val="10"/>
      <name val="Calibri"/>
      <family val="2"/>
      <scheme val="minor"/>
    </font>
    <font>
      <sz val="10"/>
      <color rgb="FF3F3F76"/>
      <name val="Calibri"/>
      <family val="2"/>
      <scheme val="minor"/>
    </font>
    <font>
      <b/>
      <sz val="10"/>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b/>
      <sz val="10"/>
      <color rgb="FFFF0000"/>
      <name val="Calibri"/>
      <family val="2"/>
      <scheme val="minor"/>
    </font>
    <font>
      <b/>
      <i/>
      <sz val="10"/>
      <color theme="1"/>
      <name val="Calibri"/>
      <family val="2"/>
      <scheme val="minor"/>
    </font>
    <font>
      <b/>
      <i/>
      <sz val="10"/>
      <name val="Calibri"/>
      <family val="2"/>
      <scheme val="minor"/>
    </font>
    <font>
      <u/>
      <sz val="11"/>
      <color theme="10"/>
      <name val="Calibri"/>
      <family val="2"/>
      <scheme val="minor"/>
    </font>
    <font>
      <sz val="7"/>
      <color theme="1"/>
      <name val="Times New Roman"/>
      <family val="1"/>
    </font>
    <font>
      <b/>
      <i/>
      <sz val="10"/>
      <color rgb="FF7030A0"/>
      <name val="Calibri"/>
      <family val="2"/>
      <scheme val="minor"/>
    </font>
    <font>
      <sz val="11"/>
      <color theme="1"/>
      <name val="Calibri Light"/>
      <family val="2"/>
      <scheme val="major"/>
    </font>
    <font>
      <b/>
      <sz val="12"/>
      <color theme="1"/>
      <name val="Calibri Light"/>
      <family val="2"/>
      <scheme val="major"/>
    </font>
    <font>
      <sz val="12"/>
      <color theme="1"/>
      <name val="Calibri"/>
      <family val="2"/>
      <scheme val="minor"/>
    </font>
    <font>
      <b/>
      <u/>
      <sz val="12"/>
      <color theme="1"/>
      <name val="Calibri Light"/>
      <family val="2"/>
      <scheme val="major"/>
    </font>
    <font>
      <b/>
      <sz val="11"/>
      <color rgb="FF3F3F3F"/>
      <name val="Calibri"/>
      <family val="2"/>
      <scheme val="minor"/>
    </font>
    <font>
      <b/>
      <sz val="14"/>
      <color theme="1"/>
      <name val="Calibri"/>
      <family val="2"/>
      <scheme val="minor"/>
    </font>
    <font>
      <u/>
      <sz val="11"/>
      <color theme="1"/>
      <name val="Calibri"/>
      <family val="2"/>
      <scheme val="minor"/>
    </font>
    <font>
      <b/>
      <sz val="16"/>
      <color theme="1"/>
      <name val="Calibri"/>
      <family val="2"/>
      <scheme val="minor"/>
    </font>
    <font>
      <u/>
      <sz val="12"/>
      <color theme="1"/>
      <name val="Calibri"/>
      <family val="2"/>
      <scheme val="minor"/>
    </font>
    <font>
      <b/>
      <sz val="11"/>
      <color theme="1"/>
      <name val="Calibri Light"/>
      <family val="2"/>
      <scheme val="major"/>
    </font>
    <font>
      <u/>
      <sz val="12"/>
      <color rgb="FF0070C0"/>
      <name val="Calibri"/>
      <family val="2"/>
      <scheme val="minor"/>
    </font>
    <font>
      <sz val="11"/>
      <name val="Calibri"/>
      <family val="2"/>
      <scheme val="minor"/>
    </font>
    <font>
      <i/>
      <sz val="11"/>
      <name val="Calibri"/>
      <family val="2"/>
      <scheme val="minor"/>
    </font>
    <font>
      <b/>
      <sz val="11"/>
      <name val="Calibri"/>
      <family val="2"/>
      <scheme val="minor"/>
    </font>
    <font>
      <i/>
      <sz val="10"/>
      <name val="Calibri"/>
      <family val="2"/>
      <scheme val="minor"/>
    </font>
    <font>
      <i/>
      <sz val="10"/>
      <color theme="1"/>
      <name val="Calibri"/>
      <family val="2"/>
      <scheme val="minor"/>
    </font>
    <font>
      <sz val="10"/>
      <name val="Arial"/>
      <family val="2"/>
    </font>
    <font>
      <i/>
      <sz val="11"/>
      <color theme="1"/>
      <name val="Calibri"/>
      <family val="2"/>
      <scheme val="minor"/>
    </font>
    <font>
      <b/>
      <i/>
      <sz val="10"/>
      <color rgb="FFFF0000"/>
      <name val="Calibri"/>
      <family val="2"/>
      <scheme val="minor"/>
    </font>
  </fonts>
  <fills count="20">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C6EFCE"/>
      </patternFill>
    </fill>
    <fill>
      <patternFill patternType="solid">
        <fgColor rgb="FF00B050"/>
        <bgColor indexed="64"/>
      </patternFill>
    </fill>
    <fill>
      <patternFill patternType="solid">
        <fgColor theme="9"/>
        <bgColor indexed="64"/>
      </patternFill>
    </fill>
    <fill>
      <patternFill patternType="solid">
        <fgColor theme="0" tint="-0.14999847407452621"/>
        <bgColor indexed="64"/>
      </patternFill>
    </fill>
    <fill>
      <patternFill patternType="solid">
        <fgColor rgb="FF4472C4"/>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FFCC"/>
        <bgColor indexed="64"/>
      </patternFill>
    </fill>
    <fill>
      <patternFill patternType="solid">
        <fgColor rgb="FF70AD47"/>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C6EFCE"/>
        <bgColor indexed="64"/>
      </patternFill>
    </fill>
    <fill>
      <patternFill patternType="solid">
        <fgColor rgb="FF00FF00"/>
        <bgColor indexed="64"/>
      </patternFill>
    </fill>
  </fills>
  <borders count="10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indexed="64"/>
      </bottom>
      <diagonal/>
    </border>
    <border>
      <left style="thin">
        <color indexed="64"/>
      </left>
      <right style="thin">
        <color indexed="64"/>
      </right>
      <top style="thin">
        <color indexed="64"/>
      </top>
      <bottom style="thin">
        <color rgb="FF7F7F7F"/>
      </bottom>
      <diagonal/>
    </border>
    <border>
      <left style="thin">
        <color indexed="64"/>
      </left>
      <right style="thin">
        <color indexed="64"/>
      </right>
      <top style="thin">
        <color rgb="FF7F7F7F"/>
      </top>
      <bottom style="thin">
        <color indexed="64"/>
      </bottom>
      <diagonal/>
    </border>
    <border>
      <left style="thin">
        <color rgb="FF7F7F7F"/>
      </left>
      <right style="thin">
        <color rgb="FF7F7F7F"/>
      </right>
      <top style="thin">
        <color indexed="64"/>
      </top>
      <bottom style="double">
        <color indexed="64"/>
      </bottom>
      <diagonal/>
    </border>
    <border>
      <left style="thin">
        <color rgb="FF7F7F7F"/>
      </left>
      <right style="thin">
        <color rgb="FF7F7F7F"/>
      </right>
      <top style="thin">
        <color rgb="FF7F7F7F"/>
      </top>
      <bottom/>
      <diagonal/>
    </border>
    <border>
      <left style="thin">
        <color indexed="64"/>
      </left>
      <right style="thin">
        <color rgb="FF7F7F7F"/>
      </right>
      <top style="thin">
        <color indexed="64"/>
      </top>
      <bottom style="double">
        <color indexed="64"/>
      </bottom>
      <diagonal/>
    </border>
    <border>
      <left style="thin">
        <color indexed="64"/>
      </left>
      <right style="thin">
        <color rgb="FF7F7F7F"/>
      </right>
      <top style="thin">
        <color indexed="64"/>
      </top>
      <bottom style="thin">
        <color rgb="FF7F7F7F"/>
      </bottom>
      <diagonal/>
    </border>
    <border>
      <left style="thin">
        <color rgb="FF7F7F7F"/>
      </left>
      <right style="thin">
        <color rgb="FF7F7F7F"/>
      </right>
      <top style="thin">
        <color indexed="64"/>
      </top>
      <bottom style="thin">
        <color rgb="FF7F7F7F"/>
      </bottom>
      <diagonal/>
    </border>
    <border>
      <left style="thin">
        <color indexed="64"/>
      </left>
      <right style="thin">
        <color rgb="FF7F7F7F"/>
      </right>
      <top style="thin">
        <color rgb="FF7F7F7F"/>
      </top>
      <bottom style="thin">
        <color indexed="64"/>
      </bottom>
      <diagonal/>
    </border>
    <border>
      <left style="thin">
        <color rgb="FF7F7F7F"/>
      </left>
      <right style="thin">
        <color indexed="64"/>
      </right>
      <top style="thin">
        <color rgb="FF7F7F7F"/>
      </top>
      <bottom style="thin">
        <color indexed="64"/>
      </bottom>
      <diagonal/>
    </border>
    <border>
      <left/>
      <right style="thin">
        <color rgb="FF7F7F7F"/>
      </right>
      <top style="thin">
        <color rgb="FF7F7F7F"/>
      </top>
      <bottom style="thin">
        <color rgb="FF7F7F7F"/>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diagonal/>
    </border>
    <border>
      <left/>
      <right style="thin">
        <color rgb="FF7F7F7F"/>
      </right>
      <top style="thin">
        <color rgb="FF7F7F7F"/>
      </top>
      <bottom/>
      <diagonal/>
    </border>
    <border>
      <left style="thin">
        <color indexed="64"/>
      </left>
      <right style="thin">
        <color indexed="64"/>
      </right>
      <top/>
      <bottom style="thin">
        <color rgb="FF7F7F7F"/>
      </bottom>
      <diagonal/>
    </border>
    <border>
      <left style="thin">
        <color rgb="FF7F7F7F"/>
      </left>
      <right style="thin">
        <color indexed="64"/>
      </right>
      <top style="thin">
        <color indexed="64"/>
      </top>
      <bottom style="thin">
        <color rgb="FF7F7F7F"/>
      </bottom>
      <diagonal/>
    </border>
    <border>
      <left style="thin">
        <color rgb="FF7F7F7F"/>
      </left>
      <right style="thin">
        <color indexed="64"/>
      </right>
      <top style="thin">
        <color rgb="FF7F7F7F"/>
      </top>
      <bottom style="thin">
        <color rgb="FF7F7F7F"/>
      </bottom>
      <diagonal/>
    </border>
    <border>
      <left style="thin">
        <color rgb="FF7F7F7F"/>
      </left>
      <right style="thin">
        <color indexed="64"/>
      </right>
      <top style="thin">
        <color indexed="64"/>
      </top>
      <bottom style="thin">
        <color indexed="64"/>
      </bottom>
      <diagonal/>
    </border>
    <border>
      <left/>
      <right style="thin">
        <color rgb="FF7F7F7F"/>
      </right>
      <top style="thin">
        <color rgb="FF7F7F7F"/>
      </top>
      <bottom style="thin">
        <color indexed="64"/>
      </bottom>
      <diagonal/>
    </border>
    <border>
      <left style="thin">
        <color indexed="64"/>
      </left>
      <right style="thin">
        <color rgb="FF7F7F7F"/>
      </right>
      <top/>
      <bottom style="thin">
        <color indexed="64"/>
      </bottom>
      <diagonal/>
    </border>
    <border>
      <left/>
      <right style="thin">
        <color rgb="FF7F7F7F"/>
      </right>
      <top/>
      <bottom style="thin">
        <color indexed="64"/>
      </bottom>
      <diagonal/>
    </border>
    <border>
      <left style="thin">
        <color indexed="64"/>
      </left>
      <right style="thin">
        <color theme="0" tint="-0.499984740745262"/>
      </right>
      <top/>
      <bottom style="thin">
        <color indexed="64"/>
      </bottom>
      <diagonal/>
    </border>
    <border>
      <left style="thin">
        <color indexed="64"/>
      </left>
      <right style="thin">
        <color theme="0" tint="-0.499984740745262"/>
      </right>
      <top style="thin">
        <color indexed="64"/>
      </top>
      <bottom style="thin">
        <color indexed="64"/>
      </bottom>
      <diagonal/>
    </border>
    <border>
      <left style="thin">
        <color indexed="64"/>
      </left>
      <right style="thin">
        <color theme="0" tint="-0.499984740745262"/>
      </right>
      <top style="thin">
        <color rgb="FF7F7F7F"/>
      </top>
      <bottom style="thin">
        <color rgb="FF7F7F7F"/>
      </bottom>
      <diagonal/>
    </border>
    <border>
      <left style="thin">
        <color indexed="64"/>
      </left>
      <right style="thin">
        <color indexed="64"/>
      </right>
      <top style="thin">
        <color indexed="64"/>
      </top>
      <bottom style="thin">
        <color theme="0" tint="-0.499984740745262"/>
      </bottom>
      <diagonal/>
    </border>
    <border>
      <left style="thin">
        <color rgb="FF7F7F7F"/>
      </left>
      <right style="thin">
        <color rgb="FF7F7F7F"/>
      </right>
      <top/>
      <bottom style="thin">
        <color indexed="64"/>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rgb="FF7F7F7F"/>
      </top>
      <bottom style="thin">
        <color rgb="FF7F7F7F"/>
      </bottom>
      <diagonal/>
    </border>
    <border>
      <left style="thin">
        <color theme="0" tint="-0.499984740745262"/>
      </left>
      <right style="thin">
        <color theme="0" tint="-0.499984740745262"/>
      </right>
      <top style="thin">
        <color rgb="FF7F7F7F"/>
      </top>
      <bottom style="thin">
        <color theme="0" tint="-0.499984740745262"/>
      </bottom>
      <diagonal/>
    </border>
    <border>
      <left style="thin">
        <color rgb="FF7F7F7F"/>
      </left>
      <right style="thin">
        <color rgb="FF7F7F7F"/>
      </right>
      <top style="thin">
        <color theme="0" tint="-0.499984740745262"/>
      </top>
      <bottom style="thin">
        <color rgb="FF7F7F7F"/>
      </bottom>
      <diagonal/>
    </border>
    <border>
      <left/>
      <right/>
      <top style="thin">
        <color rgb="FF7F7F7F"/>
      </top>
      <bottom style="thin">
        <color rgb="FF7F7F7F"/>
      </bottom>
      <diagonal/>
    </border>
    <border>
      <left style="thin">
        <color rgb="FF7F7F7F"/>
      </left>
      <right style="thin">
        <color indexed="64"/>
      </right>
      <top style="thin">
        <color rgb="FF7F7F7F"/>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rgb="FF7F7F7F"/>
      </left>
      <right style="thin">
        <color indexed="64"/>
      </right>
      <top/>
      <bottom style="thin">
        <color indexed="64"/>
      </bottom>
      <diagonal/>
    </border>
    <border>
      <left/>
      <right style="thin">
        <color rgb="FF7F7F7F"/>
      </right>
      <top/>
      <bottom style="thin">
        <color rgb="FF7F7F7F"/>
      </bottom>
      <diagonal/>
    </border>
    <border>
      <left style="thin">
        <color rgb="FF7F7F7F"/>
      </left>
      <right style="thin">
        <color indexed="64"/>
      </right>
      <top/>
      <bottom style="thin">
        <color rgb="FF7F7F7F"/>
      </bottom>
      <diagonal/>
    </border>
    <border>
      <left/>
      <right style="thin">
        <color rgb="FF7F7F7F"/>
      </right>
      <top style="thin">
        <color indexed="64"/>
      </top>
      <bottom style="thin">
        <color rgb="FF7F7F7F"/>
      </bottom>
      <diagonal/>
    </border>
    <border>
      <left style="thin">
        <color rgb="FF7F7F7F"/>
      </left>
      <right style="thin">
        <color indexed="64"/>
      </right>
      <top style="thin">
        <color indexed="64"/>
      </top>
      <bottom/>
      <diagonal/>
    </border>
    <border>
      <left style="thin">
        <color rgb="FF7F7F7F"/>
      </left>
      <right style="thin">
        <color rgb="FF7F7F7F"/>
      </right>
      <top style="thin">
        <color rgb="FF7F7F7F"/>
      </top>
      <bottom style="thin">
        <color theme="0" tint="-0.499984740745262"/>
      </bottom>
      <diagonal/>
    </border>
    <border>
      <left style="thin">
        <color theme="0" tint="-0.499984740745262"/>
      </left>
      <right style="thin">
        <color theme="0" tint="-0.499984740745262"/>
      </right>
      <top style="thin">
        <color indexed="64"/>
      </top>
      <bottom style="thin">
        <color rgb="FF7F7F7F"/>
      </bottom>
      <diagonal/>
    </border>
    <border>
      <left style="thin">
        <color indexed="64"/>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thin">
        <color rgb="FF7F7F7F"/>
      </right>
      <top style="thin">
        <color theme="0" tint="-0.499984740745262"/>
      </top>
      <bottom/>
      <diagonal/>
    </border>
    <border>
      <left style="thin">
        <color rgb="FF7F7F7F"/>
      </left>
      <right/>
      <top style="thin">
        <color theme="0" tint="-0.499984740745262"/>
      </top>
      <bottom/>
      <diagonal/>
    </border>
    <border>
      <left style="thin">
        <color rgb="FF7F7F7F"/>
      </left>
      <right style="thin">
        <color rgb="FF7F7F7F"/>
      </right>
      <top/>
      <bottom style="thin">
        <color theme="0" tint="-0.499984740745262"/>
      </bottom>
      <diagonal/>
    </border>
    <border>
      <left/>
      <right/>
      <top style="thin">
        <color theme="0" tint="-0.499984740745262"/>
      </top>
      <bottom/>
      <diagonal/>
    </border>
    <border>
      <left/>
      <right style="thin">
        <color indexed="64"/>
      </right>
      <top style="thin">
        <color theme="0" tint="-0.499984740745262"/>
      </top>
      <bottom/>
      <diagonal/>
    </border>
    <border>
      <left style="thin">
        <color rgb="FF7F7F7F"/>
      </left>
      <right/>
      <top/>
      <bottom style="thin">
        <color theme="0" tint="-0.499984740745262"/>
      </bottom>
      <diagonal/>
    </border>
    <border>
      <left/>
      <right style="thin">
        <color rgb="FF7F7F7F"/>
      </right>
      <top style="thin">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indexed="64"/>
      </right>
      <top style="thin">
        <color indexed="64"/>
      </top>
      <bottom style="double">
        <color indexed="64"/>
      </bottom>
      <diagonal/>
    </border>
    <border>
      <left style="thin">
        <color indexed="64"/>
      </left>
      <right style="thin">
        <color rgb="FF7F7F7F"/>
      </right>
      <top style="double">
        <color indexed="64"/>
      </top>
      <bottom style="double">
        <color indexed="64"/>
      </bottom>
      <diagonal/>
    </border>
    <border>
      <left style="thin">
        <color rgb="FF7F7F7F"/>
      </left>
      <right style="thin">
        <color rgb="FF7F7F7F"/>
      </right>
      <top style="double">
        <color indexed="64"/>
      </top>
      <bottom style="double">
        <color indexed="64"/>
      </bottom>
      <diagonal/>
    </border>
    <border>
      <left style="thin">
        <color rgb="FF7F7F7F"/>
      </left>
      <right style="thin">
        <color indexed="64"/>
      </right>
      <top style="double">
        <color indexed="64"/>
      </top>
      <bottom style="double">
        <color indexed="64"/>
      </bottom>
      <diagonal/>
    </border>
    <border>
      <left/>
      <right style="thin">
        <color theme="0" tint="-0.499984740745262"/>
      </right>
      <top style="thin">
        <color theme="0" tint="-0.499984740745262"/>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style="thin">
        <color rgb="FF3F3F3F"/>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rgb="FF3F3F3F"/>
      </right>
      <top style="thin">
        <color rgb="FF3F3F3F"/>
      </top>
      <bottom style="thin">
        <color rgb="FF3F3F3F"/>
      </bottom>
      <diagonal/>
    </border>
    <border>
      <left style="thin">
        <color theme="0" tint="-0.499984740745262"/>
      </left>
      <right/>
      <top style="thin">
        <color theme="0" tint="-0.499984740745262"/>
      </top>
      <bottom style="thin">
        <color indexed="64"/>
      </bottom>
      <diagonal/>
    </border>
    <border>
      <left/>
      <right/>
      <top style="thin">
        <color indexed="64"/>
      </top>
      <bottom style="thin">
        <color theme="0" tint="-0.499984740745262"/>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rgb="FFB2B2B2"/>
      </bottom>
      <diagonal/>
    </border>
    <border>
      <left style="thin">
        <color indexed="64"/>
      </left>
      <right style="thin">
        <color indexed="64"/>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rgb="FF7F7F7F"/>
      </right>
      <top style="thin">
        <color rgb="FF7F7F7F"/>
      </top>
      <bottom/>
      <diagonal/>
    </border>
    <border>
      <left style="thin">
        <color rgb="FF7F7F7F"/>
      </left>
      <right/>
      <top style="thin">
        <color indexed="64"/>
      </top>
      <bottom style="double">
        <color indexed="64"/>
      </bottom>
      <diagonal/>
    </border>
    <border>
      <left style="thin">
        <color rgb="FFB2B2B2"/>
      </left>
      <right/>
      <top style="thin">
        <color rgb="FFB2B2B2"/>
      </top>
      <bottom style="thin">
        <color rgb="FFB2B2B2"/>
      </bottom>
      <diagonal/>
    </border>
    <border>
      <left style="thin">
        <color rgb="FFB2B2B2"/>
      </left>
      <right/>
      <top style="thin">
        <color indexed="64"/>
      </top>
      <bottom style="thin">
        <color indexed="64"/>
      </bottom>
      <diagonal/>
    </border>
    <border>
      <left/>
      <right style="thin">
        <color indexed="64"/>
      </right>
      <top/>
      <bottom style="double">
        <color rgb="FFFF8001"/>
      </bottom>
      <diagonal/>
    </border>
    <border>
      <left style="thin">
        <color rgb="FFB2B2B2"/>
      </left>
      <right/>
      <top style="thin">
        <color rgb="FFB2B2B2"/>
      </top>
      <bottom/>
      <diagonal/>
    </border>
  </borders>
  <cellStyleXfs count="12">
    <xf numFmtId="0" fontId="0" fillId="0" borderId="0"/>
    <xf numFmtId="9" fontId="1" fillId="0" borderId="0" applyFont="0" applyFill="0" applyBorder="0" applyAlignment="0" applyProtection="0"/>
    <xf numFmtId="0" fontId="3" fillId="2" borderId="9" applyNumberFormat="0" applyAlignment="0" applyProtection="0"/>
    <xf numFmtId="0" fontId="4" fillId="3" borderId="9" applyNumberFormat="0" applyAlignment="0" applyProtection="0"/>
    <xf numFmtId="0" fontId="5" fillId="0" borderId="10" applyNumberFormat="0" applyFill="0" applyAlignment="0" applyProtection="0"/>
    <xf numFmtId="0" fontId="6" fillId="4" borderId="11" applyNumberFormat="0" applyAlignment="0" applyProtection="0"/>
    <xf numFmtId="0" fontId="1" fillId="5" borderId="12" applyNumberFormat="0" applyFont="0" applyAlignment="0" applyProtection="0"/>
    <xf numFmtId="0" fontId="12" fillId="7" borderId="0" applyNumberFormat="0" applyBorder="0" applyAlignment="0" applyProtection="0"/>
    <xf numFmtId="0" fontId="28" fillId="0" borderId="0" applyNumberFormat="0" applyFill="0" applyBorder="0" applyAlignment="0" applyProtection="0"/>
    <xf numFmtId="0" fontId="35" fillId="3" borderId="33" applyNumberFormat="0" applyAlignment="0" applyProtection="0"/>
    <xf numFmtId="164" fontId="1" fillId="0" borderId="0" applyFont="0" applyFill="0" applyBorder="0" applyAlignment="0" applyProtection="0"/>
    <xf numFmtId="0" fontId="47" fillId="0" borderId="0"/>
  </cellStyleXfs>
  <cellXfs count="794">
    <xf numFmtId="0" fontId="0" fillId="0" borderId="0" xfId="0"/>
    <xf numFmtId="167" fontId="8" fillId="0" borderId="0" xfId="0" applyNumberFormat="1" applyFont="1" applyBorder="1" applyAlignment="1">
      <alignment horizontal="left"/>
    </xf>
    <xf numFmtId="168" fontId="8" fillId="0" borderId="0" xfId="0" applyNumberFormat="1" applyFont="1" applyBorder="1"/>
    <xf numFmtId="0" fontId="8" fillId="0" borderId="2" xfId="0" applyFont="1" applyBorder="1" applyAlignment="1">
      <alignment horizontal="center" vertical="center"/>
    </xf>
    <xf numFmtId="165" fontId="8" fillId="0" borderId="4" xfId="0" applyNumberFormat="1" applyFont="1" applyBorder="1" applyAlignment="1">
      <alignment horizontal="center"/>
    </xf>
    <xf numFmtId="165" fontId="8" fillId="0" borderId="14" xfId="0" applyNumberFormat="1" applyFont="1" applyBorder="1"/>
    <xf numFmtId="0" fontId="2" fillId="0" borderId="0" xfId="0" applyFont="1" applyFill="1" applyBorder="1" applyAlignment="1">
      <alignment vertical="center"/>
    </xf>
    <xf numFmtId="165" fontId="8" fillId="0" borderId="0" xfId="0" applyNumberFormat="1" applyFont="1" applyAlignment="1">
      <alignment horizontal="centerContinuous"/>
    </xf>
    <xf numFmtId="165" fontId="9" fillId="0" borderId="0" xfId="0" applyNumberFormat="1" applyFont="1"/>
    <xf numFmtId="165" fontId="9" fillId="0" borderId="0" xfId="0" applyNumberFormat="1" applyFont="1" applyAlignment="1">
      <alignment horizontal="center"/>
    </xf>
    <xf numFmtId="165" fontId="17" fillId="7" borderId="7" xfId="7" applyNumberFormat="1" applyFont="1" applyBorder="1" applyAlignment="1">
      <alignment horizontal="center"/>
    </xf>
    <xf numFmtId="165" fontId="17" fillId="7" borderId="8" xfId="7" applyNumberFormat="1" applyFont="1" applyBorder="1" applyAlignment="1">
      <alignment horizontal="center"/>
    </xf>
    <xf numFmtId="165" fontId="9" fillId="0" borderId="13" xfId="0" applyNumberFormat="1" applyFont="1" applyBorder="1" applyAlignment="1">
      <alignment horizontal="center"/>
    </xf>
    <xf numFmtId="165" fontId="9" fillId="0" borderId="7" xfId="0" applyNumberFormat="1" applyFont="1" applyBorder="1"/>
    <xf numFmtId="10" fontId="9" fillId="0" borderId="0" xfId="1" applyNumberFormat="1" applyFont="1"/>
    <xf numFmtId="165" fontId="9" fillId="0" borderId="6" xfId="0" applyNumberFormat="1" applyFont="1" applyBorder="1"/>
    <xf numFmtId="165" fontId="9" fillId="0" borderId="27" xfId="0" applyNumberFormat="1" applyFont="1" applyBorder="1" applyAlignment="1">
      <alignment horizontal="center"/>
    </xf>
    <xf numFmtId="165" fontId="9" fillId="0" borderId="27" xfId="0" applyNumberFormat="1" applyFont="1" applyBorder="1"/>
    <xf numFmtId="165" fontId="9" fillId="0" borderId="28" xfId="0" applyNumberFormat="1" applyFont="1" applyBorder="1"/>
    <xf numFmtId="165" fontId="9" fillId="0" borderId="29" xfId="0" applyNumberFormat="1" applyFont="1" applyBorder="1"/>
    <xf numFmtId="165" fontId="9" fillId="0" borderId="30" xfId="0" applyNumberFormat="1" applyFont="1" applyBorder="1" applyAlignment="1">
      <alignment horizontal="center"/>
    </xf>
    <xf numFmtId="165" fontId="9" fillId="0" borderId="30" xfId="0" applyNumberFormat="1" applyFont="1" applyBorder="1"/>
    <xf numFmtId="165" fontId="9" fillId="0" borderId="31" xfId="0" applyNumberFormat="1" applyFont="1" applyBorder="1"/>
    <xf numFmtId="165" fontId="8" fillId="0" borderId="0" xfId="0" applyNumberFormat="1" applyFont="1"/>
    <xf numFmtId="165" fontId="19" fillId="6" borderId="0" xfId="0" applyNumberFormat="1" applyFont="1" applyFill="1"/>
    <xf numFmtId="0" fontId="8" fillId="0" borderId="0" xfId="0" applyFont="1"/>
    <xf numFmtId="0" fontId="9" fillId="0" borderId="0" xfId="0" applyFont="1"/>
    <xf numFmtId="0" fontId="19" fillId="0" borderId="0" xfId="0" applyFont="1"/>
    <xf numFmtId="0" fontId="19" fillId="0" borderId="0" xfId="0" applyFont="1" applyAlignment="1">
      <alignment horizontal="center"/>
    </xf>
    <xf numFmtId="0" fontId="19" fillId="0" borderId="0" xfId="0" applyFont="1" applyBorder="1"/>
    <xf numFmtId="0" fontId="9" fillId="0" borderId="0" xfId="0" applyFont="1" applyBorder="1"/>
    <xf numFmtId="0" fontId="9" fillId="0" borderId="0" xfId="0" applyFont="1" applyBorder="1" applyAlignment="1">
      <alignment horizontal="center"/>
    </xf>
    <xf numFmtId="0" fontId="9" fillId="0" borderId="0" xfId="0" applyFont="1" applyAlignment="1">
      <alignment horizontal="center"/>
    </xf>
    <xf numFmtId="0" fontId="8" fillId="0" borderId="2" xfId="0" applyFont="1" applyBorder="1" applyAlignment="1">
      <alignment horizontal="center"/>
    </xf>
    <xf numFmtId="0" fontId="9" fillId="0" borderId="2" xfId="0" applyFont="1" applyBorder="1"/>
    <xf numFmtId="0" fontId="9" fillId="0" borderId="2" xfId="0" applyFont="1" applyBorder="1" applyAlignment="1">
      <alignment horizontal="center"/>
    </xf>
    <xf numFmtId="0" fontId="19" fillId="0" borderId="0" xfId="0" applyFont="1" applyFill="1" applyBorder="1"/>
    <xf numFmtId="165" fontId="22" fillId="3" borderId="9" xfId="3" applyNumberFormat="1" applyFont="1" applyAlignment="1">
      <alignment horizontal="center"/>
    </xf>
    <xf numFmtId="0" fontId="9" fillId="6" borderId="2" xfId="0" applyFont="1" applyFill="1" applyBorder="1" applyAlignment="1">
      <alignment horizontal="center"/>
    </xf>
    <xf numFmtId="10" fontId="9" fillId="0" borderId="0" xfId="0" applyNumberFormat="1" applyFont="1" applyBorder="1" applyAlignment="1">
      <alignment horizontal="center"/>
    </xf>
    <xf numFmtId="10" fontId="9" fillId="0" borderId="0" xfId="0" applyNumberFormat="1" applyFont="1" applyAlignment="1">
      <alignment horizontal="center"/>
    </xf>
    <xf numFmtId="0" fontId="8" fillId="0" borderId="2" xfId="0" applyFont="1" applyBorder="1"/>
    <xf numFmtId="0" fontId="8" fillId="0" borderId="2" xfId="0" applyFont="1" applyFill="1" applyBorder="1" applyAlignment="1">
      <alignment horizontal="center"/>
    </xf>
    <xf numFmtId="0" fontId="21" fillId="0" borderId="0" xfId="0" applyFont="1" applyBorder="1"/>
    <xf numFmtId="0" fontId="8" fillId="0" borderId="0" xfId="0" applyFont="1" applyBorder="1"/>
    <xf numFmtId="0" fontId="8" fillId="0" borderId="0" xfId="0" applyFont="1" applyBorder="1" applyAlignment="1">
      <alignment horizontal="center"/>
    </xf>
    <xf numFmtId="165" fontId="23" fillId="0" borderId="10" xfId="4" applyNumberFormat="1" applyFont="1"/>
    <xf numFmtId="0" fontId="9" fillId="0" borderId="2" xfId="0" applyFont="1" applyFill="1" applyBorder="1"/>
    <xf numFmtId="0" fontId="9" fillId="0" borderId="3" xfId="0" applyFont="1" applyBorder="1" applyAlignment="1">
      <alignment horizontal="left"/>
    </xf>
    <xf numFmtId="0" fontId="8" fillId="0" borderId="8" xfId="0" applyFont="1" applyBorder="1" applyAlignment="1">
      <alignment horizontal="centerContinuous"/>
    </xf>
    <xf numFmtId="0" fontId="8" fillId="0" borderId="2" xfId="0" applyFont="1" applyBorder="1" applyAlignment="1">
      <alignment horizontal="centerContinuous"/>
    </xf>
    <xf numFmtId="0" fontId="21" fillId="0" borderId="2" xfId="0" applyFont="1" applyFill="1" applyBorder="1" applyAlignment="1">
      <alignment horizontal="centerContinuous"/>
    </xf>
    <xf numFmtId="0" fontId="19" fillId="0" borderId="5" xfId="0" applyFont="1" applyFill="1" applyBorder="1" applyAlignment="1">
      <alignment horizontal="centerContinuous"/>
    </xf>
    <xf numFmtId="0" fontId="21" fillId="0" borderId="3" xfId="0" applyFont="1" applyFill="1" applyBorder="1" applyAlignment="1">
      <alignment horizontal="center"/>
    </xf>
    <xf numFmtId="0" fontId="9" fillId="0" borderId="0" xfId="0" applyFont="1" applyFill="1" applyBorder="1"/>
    <xf numFmtId="0" fontId="8" fillId="0" borderId="0" xfId="0" applyFont="1" applyFill="1" applyBorder="1" applyAlignment="1">
      <alignment horizontal="center"/>
    </xf>
    <xf numFmtId="0" fontId="9" fillId="0" borderId="1" xfId="0" applyFont="1" applyBorder="1" applyAlignment="1">
      <alignment horizontal="center" wrapText="1"/>
    </xf>
    <xf numFmtId="0" fontId="9" fillId="0" borderId="8" xfId="0" applyFont="1" applyBorder="1" applyAlignment="1">
      <alignment horizontal="center" wrapText="1"/>
    </xf>
    <xf numFmtId="0" fontId="9" fillId="0" borderId="2" xfId="0" applyFont="1" applyBorder="1" applyAlignment="1">
      <alignment horizontal="center" wrapText="1"/>
    </xf>
    <xf numFmtId="0" fontId="19" fillId="0" borderId="2" xfId="0" applyFont="1" applyFill="1" applyBorder="1" applyAlignment="1">
      <alignment horizontal="center" wrapText="1"/>
    </xf>
    <xf numFmtId="0" fontId="19" fillId="0" borderId="5" xfId="0" applyFont="1" applyBorder="1" applyAlignment="1">
      <alignment horizontal="center" wrapText="1"/>
    </xf>
    <xf numFmtId="0" fontId="21" fillId="0" borderId="1" xfId="0" applyFont="1" applyFill="1" applyBorder="1" applyAlignment="1">
      <alignment horizontal="center" wrapText="1"/>
    </xf>
    <xf numFmtId="0" fontId="19"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Alignment="1">
      <alignment horizontal="center" wrapText="1"/>
    </xf>
    <xf numFmtId="9" fontId="9" fillId="0" borderId="0" xfId="0" applyNumberFormat="1" applyFont="1" applyBorder="1"/>
    <xf numFmtId="10" fontId="8" fillId="0" borderId="0" xfId="1" applyNumberFormat="1" applyFont="1" applyBorder="1" applyAlignment="1">
      <alignment horizontal="center"/>
    </xf>
    <xf numFmtId="0" fontId="21" fillId="0" borderId="8" xfId="0" applyFont="1" applyBorder="1" applyAlignment="1">
      <alignment horizontal="center"/>
    </xf>
    <xf numFmtId="10" fontId="8" fillId="0" borderId="0" xfId="0" applyNumberFormat="1" applyFont="1" applyBorder="1" applyAlignment="1">
      <alignment horizontal="center"/>
    </xf>
    <xf numFmtId="0" fontId="21" fillId="0" borderId="2" xfId="0" applyFont="1" applyBorder="1" applyAlignment="1">
      <alignment horizontal="center"/>
    </xf>
    <xf numFmtId="0" fontId="19" fillId="0" borderId="2" xfId="0" applyFont="1" applyBorder="1" applyAlignment="1">
      <alignment horizontal="center"/>
    </xf>
    <xf numFmtId="0" fontId="24" fillId="4" borderId="11" xfId="5" applyFont="1" applyAlignment="1">
      <alignment horizontal="center"/>
    </xf>
    <xf numFmtId="0" fontId="21" fillId="0" borderId="2" xfId="0" applyFont="1" applyFill="1" applyBorder="1" applyAlignment="1">
      <alignment horizontal="center"/>
    </xf>
    <xf numFmtId="0" fontId="9" fillId="0" borderId="3" xfId="0" applyFont="1" applyBorder="1"/>
    <xf numFmtId="0" fontId="19" fillId="0" borderId="3" xfId="0" applyFont="1" applyBorder="1" applyAlignment="1">
      <alignment horizontal="center"/>
    </xf>
    <xf numFmtId="0" fontId="22" fillId="3" borderId="19" xfId="3" applyFont="1" applyBorder="1"/>
    <xf numFmtId="165" fontId="22" fillId="3" borderId="19" xfId="3" applyNumberFormat="1" applyFont="1" applyBorder="1" applyAlignment="1">
      <alignment horizontal="center"/>
    </xf>
    <xf numFmtId="0" fontId="8" fillId="0" borderId="5" xfId="0" applyFont="1" applyBorder="1" applyAlignment="1">
      <alignment horizontal="center"/>
    </xf>
    <xf numFmtId="0" fontId="26" fillId="0" borderId="2" xfId="0" applyFont="1" applyBorder="1"/>
    <xf numFmtId="0" fontId="26" fillId="0" borderId="2" xfId="0" applyFont="1" applyBorder="1" applyAlignment="1">
      <alignment horizontal="center"/>
    </xf>
    <xf numFmtId="0" fontId="27" fillId="0" borderId="0" xfId="0" applyFont="1"/>
    <xf numFmtId="0" fontId="27" fillId="0" borderId="0" xfId="0" applyFont="1" applyAlignment="1">
      <alignment horizontal="center"/>
    </xf>
    <xf numFmtId="0" fontId="27" fillId="0" borderId="0" xfId="0" applyFont="1" applyBorder="1"/>
    <xf numFmtId="0" fontId="26" fillId="0" borderId="0" xfId="0" applyFont="1" applyBorder="1"/>
    <xf numFmtId="0" fontId="26" fillId="0" borderId="0" xfId="0" applyFont="1" applyBorder="1" applyAlignment="1">
      <alignment horizontal="center"/>
    </xf>
    <xf numFmtId="0" fontId="26" fillId="0" borderId="0" xfId="0" applyFont="1" applyAlignment="1">
      <alignment horizontal="center"/>
    </xf>
    <xf numFmtId="0" fontId="26" fillId="0" borderId="0" xfId="0" applyFont="1"/>
    <xf numFmtId="10" fontId="9" fillId="0" borderId="0" xfId="0" applyNumberFormat="1" applyFont="1"/>
    <xf numFmtId="165" fontId="8" fillId="0" borderId="3" xfId="0" applyNumberFormat="1" applyFont="1" applyBorder="1" applyAlignment="1">
      <alignment horizontal="centerContinuous"/>
    </xf>
    <xf numFmtId="165" fontId="8" fillId="0" borderId="2" xfId="0" applyNumberFormat="1" applyFont="1" applyBorder="1" applyAlignment="1">
      <alignment horizontal="center"/>
    </xf>
    <xf numFmtId="165" fontId="8" fillId="0" borderId="1" xfId="0" applyNumberFormat="1" applyFont="1" applyBorder="1" applyAlignment="1">
      <alignment horizontal="center" wrapText="1"/>
    </xf>
    <xf numFmtId="165" fontId="8" fillId="0" borderId="2" xfId="0" applyNumberFormat="1" applyFont="1" applyBorder="1" applyAlignment="1">
      <alignment horizontal="center" wrapText="1"/>
    </xf>
    <xf numFmtId="165" fontId="8" fillId="0" borderId="2" xfId="0" applyNumberFormat="1" applyFont="1" applyFill="1" applyBorder="1" applyAlignment="1">
      <alignment horizontal="center" wrapText="1"/>
    </xf>
    <xf numFmtId="173" fontId="22" fillId="3" borderId="9" xfId="3" applyNumberFormat="1" applyFont="1" applyAlignment="1">
      <alignment horizontal="center"/>
    </xf>
    <xf numFmtId="0" fontId="9" fillId="0" borderId="2" xfId="0" applyFont="1" applyBorder="1" applyAlignment="1">
      <alignment wrapText="1"/>
    </xf>
    <xf numFmtId="0" fontId="8" fillId="0" borderId="3" xfId="0" applyFont="1" applyBorder="1" applyAlignment="1">
      <alignment horizontal="center"/>
    </xf>
    <xf numFmtId="165" fontId="8" fillId="0" borderId="2" xfId="0" applyNumberFormat="1" applyFont="1" applyFill="1" applyBorder="1" applyAlignment="1">
      <alignment horizontal="center"/>
    </xf>
    <xf numFmtId="0" fontId="8" fillId="5" borderId="12" xfId="6" applyFont="1"/>
    <xf numFmtId="0" fontId="9" fillId="5" borderId="12" xfId="6" applyFont="1"/>
    <xf numFmtId="165" fontId="26" fillId="0" borderId="7" xfId="0" applyNumberFormat="1" applyFont="1" applyBorder="1"/>
    <xf numFmtId="165" fontId="26" fillId="0" borderId="0" xfId="0" applyNumberFormat="1" applyFont="1"/>
    <xf numFmtId="165" fontId="8" fillId="0" borderId="0" xfId="0" applyNumberFormat="1" applyFont="1" applyAlignment="1">
      <alignment horizontal="left"/>
    </xf>
    <xf numFmtId="165" fontId="9" fillId="0" borderId="0" xfId="0" applyNumberFormat="1" applyFont="1" applyBorder="1"/>
    <xf numFmtId="0" fontId="8" fillId="0" borderId="0" xfId="0" applyFont="1" applyAlignment="1">
      <alignment horizontal="center"/>
    </xf>
    <xf numFmtId="165" fontId="8" fillId="0" borderId="0" xfId="0" applyNumberFormat="1" applyFont="1" applyBorder="1" applyAlignment="1">
      <alignment horizontal="center"/>
    </xf>
    <xf numFmtId="9" fontId="9" fillId="0" borderId="0" xfId="0" applyNumberFormat="1" applyFont="1"/>
    <xf numFmtId="0" fontId="9" fillId="0" borderId="27" xfId="0" applyFont="1" applyFill="1" applyBorder="1"/>
    <xf numFmtId="0" fontId="8" fillId="0" borderId="14" xfId="0" applyFont="1" applyFill="1" applyBorder="1"/>
    <xf numFmtId="165" fontId="9" fillId="0" borderId="15" xfId="0" applyNumberFormat="1" applyFont="1" applyBorder="1"/>
    <xf numFmtId="165" fontId="9" fillId="0" borderId="8" xfId="0" applyNumberFormat="1" applyFont="1" applyBorder="1"/>
    <xf numFmtId="165" fontId="9" fillId="0" borderId="0" xfId="0" applyNumberFormat="1" applyFont="1" applyBorder="1" applyAlignment="1">
      <alignment horizontal="center"/>
    </xf>
    <xf numFmtId="0" fontId="22" fillId="3" borderId="9" xfId="3" applyFont="1"/>
    <xf numFmtId="165" fontId="16" fillId="0" borderId="0" xfId="0" applyNumberFormat="1" applyFont="1" applyAlignment="1">
      <alignment horizontal="left"/>
    </xf>
    <xf numFmtId="168" fontId="9" fillId="0" borderId="0" xfId="0" applyNumberFormat="1" applyFont="1"/>
    <xf numFmtId="167" fontId="9" fillId="0" borderId="0" xfId="0" applyNumberFormat="1" applyFont="1" applyBorder="1" applyAlignment="1">
      <alignment horizontal="left"/>
    </xf>
    <xf numFmtId="167" fontId="9" fillId="0" borderId="0" xfId="0" applyNumberFormat="1" applyFont="1" applyAlignment="1">
      <alignment horizontal="left"/>
    </xf>
    <xf numFmtId="165" fontId="8" fillId="0" borderId="2" xfId="0" applyNumberFormat="1" applyFont="1" applyBorder="1" applyAlignment="1">
      <alignment horizontal="center" vertical="center"/>
    </xf>
    <xf numFmtId="0" fontId="9" fillId="6" borderId="0" xfId="0" applyFont="1" applyFill="1"/>
    <xf numFmtId="165" fontId="9" fillId="0" borderId="13" xfId="0" applyNumberFormat="1" applyFont="1" applyBorder="1"/>
    <xf numFmtId="0" fontId="8" fillId="0" borderId="0" xfId="0" applyFont="1" applyAlignment="1">
      <alignment horizontal="center"/>
    </xf>
    <xf numFmtId="165" fontId="9" fillId="0" borderId="2" xfId="0" applyNumberFormat="1" applyFont="1" applyBorder="1" applyAlignment="1">
      <alignment horizontal="center"/>
    </xf>
    <xf numFmtId="0" fontId="19" fillId="6" borderId="0" xfId="0" applyFont="1" applyFill="1"/>
    <xf numFmtId="0" fontId="19" fillId="6" borderId="0" xfId="0" applyFont="1" applyFill="1" applyAlignment="1">
      <alignment horizontal="center"/>
    </xf>
    <xf numFmtId="0" fontId="19" fillId="6" borderId="0" xfId="0" applyFont="1" applyFill="1" applyBorder="1"/>
    <xf numFmtId="0" fontId="9" fillId="6" borderId="0" xfId="0" applyFont="1" applyFill="1" applyBorder="1"/>
    <xf numFmtId="0" fontId="9" fillId="6" borderId="0" xfId="0" applyFont="1" applyFill="1" applyBorder="1" applyAlignment="1">
      <alignment horizontal="center"/>
    </xf>
    <xf numFmtId="0" fontId="9" fillId="6" borderId="0" xfId="0" applyFont="1" applyFill="1" applyAlignment="1">
      <alignment horizontal="center"/>
    </xf>
    <xf numFmtId="165" fontId="20" fillId="2" borderId="9" xfId="2" applyNumberFormat="1" applyFont="1" applyAlignment="1" applyProtection="1">
      <alignment horizontal="center"/>
      <protection locked="0"/>
    </xf>
    <xf numFmtId="10" fontId="20" fillId="2" borderId="20" xfId="2" applyNumberFormat="1" applyFont="1" applyBorder="1" applyAlignment="1" applyProtection="1">
      <alignment horizontal="center"/>
      <protection locked="0"/>
    </xf>
    <xf numFmtId="0" fontId="20" fillId="2" borderId="9" xfId="2" applyFont="1" applyAlignment="1" applyProtection="1">
      <alignment horizontal="center"/>
      <protection locked="0"/>
    </xf>
    <xf numFmtId="165" fontId="20" fillId="2" borderId="9" xfId="2" applyNumberFormat="1" applyFont="1" applyProtection="1">
      <protection locked="0"/>
    </xf>
    <xf numFmtId="165" fontId="20" fillId="2" borderId="24" xfId="2" applyNumberFormat="1" applyFont="1" applyBorder="1" applyProtection="1">
      <protection locked="0"/>
    </xf>
    <xf numFmtId="165" fontId="20" fillId="2" borderId="16" xfId="2" applyNumberFormat="1" applyFont="1" applyBorder="1" applyProtection="1">
      <protection locked="0"/>
    </xf>
    <xf numFmtId="165" fontId="20" fillId="2" borderId="16" xfId="2" applyNumberFormat="1" applyFont="1" applyBorder="1" applyAlignment="1" applyProtection="1">
      <alignment horizontal="center"/>
      <protection locked="0"/>
    </xf>
    <xf numFmtId="165" fontId="20" fillId="2" borderId="25" xfId="2" applyNumberFormat="1" applyFont="1" applyBorder="1" applyProtection="1">
      <protection locked="0"/>
    </xf>
    <xf numFmtId="165" fontId="20" fillId="2" borderId="18" xfId="2" applyNumberFormat="1" applyFont="1" applyBorder="1" applyAlignment="1" applyProtection="1">
      <alignment horizontal="center"/>
      <protection locked="0"/>
    </xf>
    <xf numFmtId="10" fontId="20" fillId="2" borderId="9" xfId="2" applyNumberFormat="1" applyFont="1" applyBorder="1" applyAlignment="1" applyProtection="1">
      <alignment horizontal="center"/>
      <protection locked="0"/>
    </xf>
    <xf numFmtId="165" fontId="20" fillId="2" borderId="9" xfId="2" applyNumberFormat="1" applyFont="1" applyBorder="1" applyAlignment="1" applyProtection="1">
      <alignment horizontal="center"/>
      <protection locked="0"/>
    </xf>
    <xf numFmtId="9" fontId="20" fillId="2" borderId="23" xfId="2" applyNumberFormat="1" applyFont="1" applyBorder="1" applyAlignment="1" applyProtection="1">
      <alignment horizontal="center"/>
      <protection locked="0"/>
    </xf>
    <xf numFmtId="0" fontId="20" fillId="2" borderId="9" xfId="2" applyFont="1" applyProtection="1">
      <protection locked="0"/>
    </xf>
    <xf numFmtId="0" fontId="20" fillId="2" borderId="20" xfId="2" applyFont="1" applyBorder="1" applyAlignment="1" applyProtection="1">
      <alignment horizontal="center"/>
      <protection locked="0"/>
    </xf>
    <xf numFmtId="0" fontId="8" fillId="0" borderId="0" xfId="0" applyFont="1" applyAlignment="1">
      <alignment horizontal="center"/>
    </xf>
    <xf numFmtId="0" fontId="0" fillId="0" borderId="0" xfId="0" applyFill="1"/>
    <xf numFmtId="0" fontId="36" fillId="0" borderId="0" xfId="0" applyFont="1" applyFill="1"/>
    <xf numFmtId="0" fontId="2" fillId="0" borderId="0" xfId="0" applyFont="1" applyFill="1"/>
    <xf numFmtId="0" fontId="10" fillId="0" borderId="0" xfId="0" applyFont="1" applyFill="1"/>
    <xf numFmtId="0" fontId="7" fillId="0" borderId="0" xfId="0" applyFont="1" applyFill="1"/>
    <xf numFmtId="0" fontId="38" fillId="0" borderId="0" xfId="0" applyFont="1" applyFill="1"/>
    <xf numFmtId="0" fontId="33" fillId="0" borderId="0" xfId="0" applyFont="1" applyFill="1" applyAlignment="1">
      <alignment vertical="top" wrapText="1"/>
    </xf>
    <xf numFmtId="0" fontId="0" fillId="10" borderId="0" xfId="0" applyFont="1" applyFill="1" applyAlignment="1">
      <alignment vertical="justify"/>
    </xf>
    <xf numFmtId="0" fontId="31" fillId="10" borderId="0" xfId="0" applyFont="1" applyFill="1" applyAlignment="1">
      <alignment vertical="justify"/>
    </xf>
    <xf numFmtId="0" fontId="0" fillId="10" borderId="0" xfId="0" applyFont="1" applyFill="1" applyAlignment="1">
      <alignment horizontal="center" vertical="center"/>
    </xf>
    <xf numFmtId="0" fontId="0" fillId="10" borderId="0" xfId="0" applyFont="1" applyFill="1" applyAlignment="1">
      <alignment vertical="justify" wrapText="1"/>
    </xf>
    <xf numFmtId="0" fontId="0" fillId="10" borderId="0" xfId="0" applyFont="1" applyFill="1" applyAlignment="1">
      <alignment vertical="center"/>
    </xf>
    <xf numFmtId="0" fontId="0" fillId="0" borderId="0" xfId="0" applyFont="1" applyFill="1" applyAlignment="1">
      <alignment vertical="justify"/>
    </xf>
    <xf numFmtId="0" fontId="31" fillId="0" borderId="0" xfId="0" applyFont="1" applyFill="1" applyAlignment="1">
      <alignment vertical="justify"/>
    </xf>
    <xf numFmtId="0" fontId="0" fillId="0" borderId="0" xfId="0" applyFont="1" applyFill="1" applyAlignment="1">
      <alignment vertical="justify" wrapText="1"/>
    </xf>
    <xf numFmtId="0" fontId="0" fillId="0" borderId="0" xfId="0" applyFont="1" applyFill="1" applyBorder="1" applyAlignment="1">
      <alignment vertical="justify"/>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right" vertical="justify"/>
    </xf>
    <xf numFmtId="0" fontId="32" fillId="0" borderId="0" xfId="0" applyFont="1" applyFill="1" applyBorder="1" applyAlignment="1">
      <alignment horizontal="left" vertical="justify"/>
    </xf>
    <xf numFmtId="0" fontId="2" fillId="0" borderId="2" xfId="0" applyFont="1" applyFill="1" applyBorder="1" applyAlignment="1">
      <alignment horizontal="center" vertical="center" wrapText="1"/>
    </xf>
    <xf numFmtId="0" fontId="0" fillId="0" borderId="0" xfId="0" applyFill="1" applyAlignment="1">
      <alignment horizontal="left" vertical="top" wrapText="1"/>
    </xf>
    <xf numFmtId="0" fontId="8" fillId="0" borderId="2" xfId="0" applyFont="1" applyBorder="1" applyAlignment="1">
      <alignment horizontal="center"/>
    </xf>
    <xf numFmtId="165" fontId="8" fillId="0" borderId="2" xfId="0" applyNumberFormat="1" applyFont="1" applyBorder="1" applyAlignment="1">
      <alignment horizontal="center" vertical="center" wrapText="1"/>
    </xf>
    <xf numFmtId="165" fontId="8" fillId="0" borderId="5" xfId="0" applyNumberFormat="1" applyFont="1" applyBorder="1" applyAlignment="1">
      <alignment horizontal="center" vertical="center" wrapText="1"/>
    </xf>
    <xf numFmtId="165" fontId="8" fillId="0" borderId="2" xfId="0" applyNumberFormat="1" applyFont="1" applyFill="1" applyBorder="1" applyAlignment="1">
      <alignment horizontal="center" vertical="center" wrapText="1"/>
    </xf>
    <xf numFmtId="0" fontId="9" fillId="10" borderId="0" xfId="0" applyFont="1" applyFill="1"/>
    <xf numFmtId="0" fontId="8" fillId="10" borderId="0" xfId="0" applyFont="1" applyFill="1"/>
    <xf numFmtId="0" fontId="9" fillId="10" borderId="0" xfId="0" applyFont="1" applyFill="1" applyAlignment="1">
      <alignment horizontal="center"/>
    </xf>
    <xf numFmtId="165" fontId="9" fillId="10" borderId="0" xfId="0" applyNumberFormat="1" applyFont="1" applyFill="1" applyAlignment="1">
      <alignment horizontal="center"/>
    </xf>
    <xf numFmtId="165" fontId="9" fillId="10" borderId="0" xfId="0" applyNumberFormat="1" applyFont="1" applyFill="1"/>
    <xf numFmtId="0" fontId="9" fillId="0" borderId="0" xfId="0" applyFont="1" applyFill="1"/>
    <xf numFmtId="0" fontId="9" fillId="0" borderId="13" xfId="0" applyFont="1" applyFill="1" applyBorder="1"/>
    <xf numFmtId="0" fontId="22" fillId="0" borderId="0" xfId="3" applyFont="1" applyFill="1" applyBorder="1"/>
    <xf numFmtId="0" fontId="3" fillId="2" borderId="9" xfId="2" applyProtection="1">
      <protection locked="0"/>
    </xf>
    <xf numFmtId="177" fontId="20" fillId="2" borderId="9" xfId="2" applyNumberFormat="1" applyFont="1" applyAlignment="1" applyProtection="1">
      <alignment horizontal="center"/>
      <protection locked="0"/>
    </xf>
    <xf numFmtId="177" fontId="20" fillId="2" borderId="26" xfId="2" applyNumberFormat="1" applyFont="1" applyBorder="1" applyAlignment="1" applyProtection="1">
      <alignment horizontal="center"/>
      <protection locked="0"/>
    </xf>
    <xf numFmtId="177" fontId="20" fillId="2" borderId="20" xfId="2" applyNumberFormat="1" applyFont="1" applyBorder="1" applyAlignment="1" applyProtection="1">
      <alignment horizontal="center"/>
      <protection locked="0"/>
    </xf>
    <xf numFmtId="177" fontId="22" fillId="3" borderId="9" xfId="3" applyNumberFormat="1" applyFont="1" applyAlignment="1">
      <alignment horizontal="center"/>
    </xf>
    <xf numFmtId="177" fontId="22" fillId="3" borderId="9" xfId="3" applyNumberFormat="1" applyFont="1"/>
    <xf numFmtId="0" fontId="8" fillId="10" borderId="0" xfId="0" applyFont="1" applyFill="1" applyAlignment="1">
      <alignment horizontal="center"/>
    </xf>
    <xf numFmtId="0" fontId="9" fillId="10" borderId="0" xfId="0" applyFont="1" applyFill="1" applyAlignment="1">
      <alignment horizontal="center" wrapText="1"/>
    </xf>
    <xf numFmtId="0" fontId="26" fillId="10" borderId="0" xfId="0" applyFont="1" applyFill="1"/>
    <xf numFmtId="0" fontId="19" fillId="10" borderId="0" xfId="0" applyFont="1" applyFill="1"/>
    <xf numFmtId="0" fontId="19" fillId="10" borderId="0" xfId="0" applyFont="1" applyFill="1" applyAlignment="1">
      <alignment horizontal="center"/>
    </xf>
    <xf numFmtId="0" fontId="19" fillId="10" borderId="0" xfId="0" applyFont="1" applyFill="1" applyBorder="1"/>
    <xf numFmtId="0" fontId="9" fillId="10" borderId="0" xfId="0" applyFont="1" applyFill="1" applyBorder="1"/>
    <xf numFmtId="0" fontId="9" fillId="10" borderId="0" xfId="0" applyFont="1" applyFill="1" applyBorder="1" applyAlignment="1">
      <alignment horizontal="center"/>
    </xf>
    <xf numFmtId="0" fontId="26" fillId="10" borderId="0" xfId="0" applyFont="1" applyFill="1" applyAlignment="1">
      <alignment horizontal="center"/>
    </xf>
    <xf numFmtId="178" fontId="20" fillId="2" borderId="9" xfId="2" applyNumberFormat="1" applyFont="1" applyProtection="1">
      <protection locked="0"/>
    </xf>
    <xf numFmtId="178" fontId="20" fillId="2" borderId="20" xfId="2" applyNumberFormat="1" applyFont="1" applyBorder="1" applyProtection="1">
      <protection locked="0"/>
    </xf>
    <xf numFmtId="166" fontId="20" fillId="2" borderId="9" xfId="2" applyNumberFormat="1" applyFont="1" applyBorder="1" applyAlignment="1" applyProtection="1">
      <alignment horizontal="center"/>
      <protection locked="0"/>
    </xf>
    <xf numFmtId="170" fontId="22" fillId="3" borderId="9" xfId="3" applyNumberFormat="1" applyFont="1" applyBorder="1" applyAlignment="1">
      <alignment horizontal="center"/>
    </xf>
    <xf numFmtId="9" fontId="20" fillId="2" borderId="9" xfId="2" applyNumberFormat="1" applyFont="1" applyBorder="1" applyAlignment="1" applyProtection="1">
      <alignment horizontal="center"/>
      <protection locked="0"/>
    </xf>
    <xf numFmtId="165" fontId="22" fillId="3" borderId="9" xfId="3" applyNumberFormat="1" applyFont="1" applyBorder="1" applyAlignment="1">
      <alignment horizontal="center"/>
    </xf>
    <xf numFmtId="170" fontId="4" fillId="3" borderId="9" xfId="3" applyNumberFormat="1" applyAlignment="1">
      <alignment horizontal="center"/>
    </xf>
    <xf numFmtId="0" fontId="19" fillId="0" borderId="2" xfId="0" applyFont="1" applyBorder="1"/>
    <xf numFmtId="178" fontId="20" fillId="2" borderId="35" xfId="2" applyNumberFormat="1" applyFont="1" applyBorder="1" applyProtection="1">
      <protection locked="0"/>
    </xf>
    <xf numFmtId="0" fontId="36" fillId="0" borderId="0" xfId="0" applyFont="1"/>
    <xf numFmtId="0" fontId="8" fillId="6" borderId="0" xfId="6" applyFont="1" applyFill="1" applyBorder="1"/>
    <xf numFmtId="0" fontId="8" fillId="5" borderId="34" xfId="6" applyFont="1" applyBorder="1"/>
    <xf numFmtId="0" fontId="0" fillId="0" borderId="2" xfId="0" applyBorder="1"/>
    <xf numFmtId="0" fontId="22" fillId="3" borderId="19" xfId="3" applyFont="1" applyBorder="1" applyAlignment="1">
      <alignment horizontal="center"/>
    </xf>
    <xf numFmtId="165" fontId="23" fillId="0" borderId="10" xfId="4" applyNumberFormat="1" applyFont="1" applyAlignment="1">
      <alignment horizontal="center"/>
    </xf>
    <xf numFmtId="165" fontId="20" fillId="2" borderId="17" xfId="2" applyNumberFormat="1" applyFont="1" applyBorder="1" applyAlignment="1" applyProtection="1">
      <alignment horizontal="center"/>
      <protection locked="0"/>
    </xf>
    <xf numFmtId="0" fontId="9" fillId="0" borderId="2" xfId="0" applyFont="1" applyBorder="1" applyAlignment="1">
      <alignment horizontal="left"/>
    </xf>
    <xf numFmtId="165" fontId="22" fillId="3" borderId="22" xfId="3" applyNumberFormat="1" applyFont="1" applyBorder="1" applyAlignment="1">
      <alignment horizontal="center"/>
    </xf>
    <xf numFmtId="10" fontId="22" fillId="3" borderId="23" xfId="3" applyNumberFormat="1" applyFont="1" applyBorder="1" applyAlignment="1">
      <alignment horizontal="center"/>
    </xf>
    <xf numFmtId="10" fontId="22" fillId="3" borderId="37" xfId="3" applyNumberFormat="1" applyFont="1" applyBorder="1" applyAlignment="1">
      <alignment horizontal="center"/>
    </xf>
    <xf numFmtId="10" fontId="20" fillId="2" borderId="23" xfId="2" applyNumberFormat="1" applyFont="1" applyBorder="1" applyAlignment="1" applyProtection="1">
      <alignment horizontal="center"/>
      <protection locked="0"/>
    </xf>
    <xf numFmtId="179" fontId="20" fillId="2" borderId="16" xfId="2" applyNumberFormat="1" applyFont="1" applyBorder="1" applyAlignment="1" applyProtection="1">
      <alignment horizontal="center"/>
      <protection locked="0"/>
    </xf>
    <xf numFmtId="166" fontId="22" fillId="3" borderId="16" xfId="3" applyNumberFormat="1" applyFont="1" applyBorder="1" applyAlignment="1">
      <alignment horizontal="center"/>
    </xf>
    <xf numFmtId="0" fontId="22" fillId="3" borderId="2" xfId="3" applyFont="1" applyBorder="1"/>
    <xf numFmtId="0" fontId="19" fillId="0" borderId="0" xfId="0" applyFont="1" applyBorder="1" applyAlignment="1">
      <alignment horizontal="center"/>
    </xf>
    <xf numFmtId="0" fontId="26" fillId="0" borderId="0" xfId="0" applyFont="1" applyFill="1" applyBorder="1" applyAlignment="1">
      <alignment horizontal="center"/>
    </xf>
    <xf numFmtId="170" fontId="22" fillId="3" borderId="38" xfId="3" applyNumberFormat="1" applyFont="1" applyBorder="1" applyAlignment="1">
      <alignment horizontal="center"/>
    </xf>
    <xf numFmtId="166" fontId="22" fillId="3" borderId="25" xfId="3" applyNumberFormat="1" applyFont="1" applyBorder="1" applyAlignment="1">
      <alignment horizontal="center"/>
    </xf>
    <xf numFmtId="4" fontId="20" fillId="2" borderId="46" xfId="2" applyNumberFormat="1" applyFont="1" applyBorder="1" applyAlignment="1" applyProtection="1">
      <alignment horizontal="center"/>
      <protection locked="0"/>
    </xf>
    <xf numFmtId="10" fontId="20" fillId="2" borderId="36" xfId="2" applyNumberFormat="1" applyFont="1" applyBorder="1" applyAlignment="1" applyProtection="1">
      <alignment horizontal="center"/>
      <protection locked="0"/>
    </xf>
    <xf numFmtId="10" fontId="20" fillId="2" borderId="46" xfId="2" applyNumberFormat="1" applyFont="1" applyBorder="1" applyAlignment="1" applyProtection="1">
      <alignment horizontal="center"/>
      <protection locked="0"/>
    </xf>
    <xf numFmtId="0" fontId="22" fillId="3" borderId="53" xfId="3" applyFont="1" applyBorder="1" applyAlignment="1">
      <alignment horizontal="center"/>
    </xf>
    <xf numFmtId="0" fontId="9" fillId="0" borderId="54" xfId="0" applyFont="1" applyBorder="1" applyAlignment="1">
      <alignment horizontal="center"/>
    </xf>
    <xf numFmtId="0" fontId="9" fillId="0" borderId="15" xfId="0" applyFont="1" applyBorder="1"/>
    <xf numFmtId="0" fontId="22" fillId="3" borderId="55" xfId="3" applyFont="1" applyBorder="1" applyAlignment="1">
      <alignment horizontal="center"/>
    </xf>
    <xf numFmtId="0" fontId="22" fillId="3" borderId="18" xfId="3" applyFont="1" applyBorder="1"/>
    <xf numFmtId="0" fontId="22" fillId="3" borderId="36" xfId="3" applyFont="1" applyBorder="1"/>
    <xf numFmtId="0" fontId="22" fillId="3" borderId="57" xfId="3" applyFont="1" applyBorder="1" applyAlignment="1">
      <alignment horizontal="center"/>
    </xf>
    <xf numFmtId="0" fontId="20" fillId="2" borderId="59" xfId="2" applyFont="1" applyBorder="1" applyAlignment="1" applyProtection="1">
      <alignment horizontal="center"/>
      <protection locked="0"/>
    </xf>
    <xf numFmtId="10" fontId="22" fillId="3" borderId="26" xfId="3" applyNumberFormat="1" applyFont="1" applyBorder="1" applyAlignment="1">
      <alignment horizontal="center"/>
    </xf>
    <xf numFmtId="10" fontId="20" fillId="2" borderId="61" xfId="2" applyNumberFormat="1" applyFont="1" applyBorder="1" applyAlignment="1" applyProtection="1">
      <alignment horizontal="center"/>
      <protection locked="0"/>
    </xf>
    <xf numFmtId="10" fontId="20" fillId="2" borderId="49" xfId="2" applyNumberFormat="1" applyFont="1" applyBorder="1" applyAlignment="1" applyProtection="1">
      <alignment horizontal="center"/>
      <protection locked="0"/>
    </xf>
    <xf numFmtId="165" fontId="22" fillId="3" borderId="42" xfId="3" applyNumberFormat="1" applyFont="1" applyBorder="1" applyAlignment="1">
      <alignment horizontal="center"/>
    </xf>
    <xf numFmtId="166" fontId="22" fillId="3" borderId="47" xfId="3" applyNumberFormat="1" applyFont="1" applyBorder="1" applyAlignment="1">
      <alignment horizontal="center"/>
    </xf>
    <xf numFmtId="10" fontId="20" fillId="2" borderId="50" xfId="2" applyNumberFormat="1" applyFont="1" applyBorder="1" applyAlignment="1" applyProtection="1">
      <alignment horizontal="center"/>
      <protection locked="0"/>
    </xf>
    <xf numFmtId="0" fontId="9" fillId="0" borderId="1" xfId="0" applyFont="1" applyFill="1" applyBorder="1"/>
    <xf numFmtId="177" fontId="20" fillId="2" borderId="9" xfId="2" applyNumberFormat="1" applyFont="1" applyBorder="1" applyAlignment="1" applyProtection="1">
      <alignment horizontal="center"/>
      <protection locked="0"/>
    </xf>
    <xf numFmtId="165" fontId="20" fillId="6" borderId="9" xfId="2" applyNumberFormat="1" applyFont="1" applyFill="1" applyBorder="1" applyAlignment="1">
      <alignment horizontal="center"/>
    </xf>
    <xf numFmtId="177" fontId="22" fillId="3" borderId="9" xfId="3" applyNumberFormat="1" applyFont="1" applyBorder="1" applyAlignment="1">
      <alignment horizontal="center"/>
    </xf>
    <xf numFmtId="0" fontId="20" fillId="2" borderId="9" xfId="2" applyFont="1" applyBorder="1" applyAlignment="1" applyProtection="1">
      <alignment horizontal="center"/>
      <protection locked="0"/>
    </xf>
    <xf numFmtId="177" fontId="22" fillId="3" borderId="9" xfId="3" applyNumberFormat="1" applyFont="1" applyBorder="1"/>
    <xf numFmtId="173" fontId="22" fillId="3" borderId="38" xfId="3" applyNumberFormat="1" applyFont="1" applyBorder="1" applyAlignment="1">
      <alignment horizontal="center"/>
    </xf>
    <xf numFmtId="0" fontId="0" fillId="0" borderId="32" xfId="0" applyBorder="1"/>
    <xf numFmtId="0" fontId="0" fillId="0" borderId="0" xfId="0" applyBorder="1"/>
    <xf numFmtId="0" fontId="0" fillId="0" borderId="15" xfId="0" applyBorder="1"/>
    <xf numFmtId="177" fontId="22" fillId="3" borderId="63" xfId="3" applyNumberFormat="1" applyFont="1" applyBorder="1" applyAlignment="1">
      <alignment horizontal="center"/>
    </xf>
    <xf numFmtId="165" fontId="22" fillId="3" borderId="62" xfId="3" applyNumberFormat="1" applyFont="1" applyBorder="1" applyAlignment="1">
      <alignment horizontal="center"/>
    </xf>
    <xf numFmtId="165" fontId="22" fillId="3" borderId="63" xfId="3" applyNumberFormat="1" applyFont="1" applyBorder="1" applyAlignment="1">
      <alignment horizontal="center"/>
    </xf>
    <xf numFmtId="173" fontId="22" fillId="3" borderId="39" xfId="3" applyNumberFormat="1" applyFont="1" applyBorder="1" applyAlignment="1">
      <alignment horizontal="center"/>
    </xf>
    <xf numFmtId="0" fontId="9" fillId="0" borderId="65" xfId="0" applyFont="1" applyFill="1" applyBorder="1"/>
    <xf numFmtId="0" fontId="20" fillId="2" borderId="51" xfId="2" applyFont="1" applyBorder="1" applyAlignment="1" applyProtection="1">
      <alignment horizontal="center"/>
      <protection locked="0"/>
    </xf>
    <xf numFmtId="0" fontId="9" fillId="0" borderId="66" xfId="0" applyFont="1" applyFill="1" applyBorder="1"/>
    <xf numFmtId="177" fontId="20" fillId="2" borderId="35" xfId="2" applyNumberFormat="1" applyFont="1" applyBorder="1" applyAlignment="1" applyProtection="1">
      <alignment horizontal="center"/>
      <protection locked="0"/>
    </xf>
    <xf numFmtId="165" fontId="20" fillId="6" borderId="20" xfId="2" applyNumberFormat="1" applyFont="1" applyFill="1" applyBorder="1" applyAlignment="1">
      <alignment horizontal="center"/>
    </xf>
    <xf numFmtId="177" fontId="22" fillId="3" borderId="20" xfId="3" applyNumberFormat="1" applyFont="1" applyBorder="1" applyAlignment="1">
      <alignment horizontal="center"/>
    </xf>
    <xf numFmtId="177" fontId="22" fillId="3" borderId="20" xfId="3" applyNumberFormat="1" applyFont="1" applyBorder="1"/>
    <xf numFmtId="165" fontId="22" fillId="3" borderId="20" xfId="3" applyNumberFormat="1" applyFont="1" applyBorder="1" applyAlignment="1">
      <alignment horizontal="center"/>
    </xf>
    <xf numFmtId="173" fontId="22" fillId="3" borderId="53" xfId="3" applyNumberFormat="1" applyFont="1" applyBorder="1" applyAlignment="1">
      <alignment horizontal="center"/>
    </xf>
    <xf numFmtId="0" fontId="9" fillId="0" borderId="64" xfId="0" applyFont="1" applyFill="1" applyBorder="1"/>
    <xf numFmtId="0" fontId="9" fillId="0" borderId="69" xfId="0" applyFont="1" applyFill="1" applyBorder="1"/>
    <xf numFmtId="0" fontId="20" fillId="2" borderId="60" xfId="2" applyFont="1" applyBorder="1" applyAlignment="1" applyProtection="1">
      <alignment horizontal="center"/>
      <protection locked="0"/>
    </xf>
    <xf numFmtId="0" fontId="0" fillId="0" borderId="67" xfId="0" applyBorder="1"/>
    <xf numFmtId="177" fontId="22" fillId="3" borderId="70" xfId="3" applyNumberFormat="1" applyFont="1" applyBorder="1" applyAlignment="1">
      <alignment horizontal="center"/>
    </xf>
    <xf numFmtId="165" fontId="8" fillId="0" borderId="0" xfId="0" applyNumberFormat="1" applyFont="1" applyBorder="1"/>
    <xf numFmtId="165" fontId="8" fillId="0" borderId="0" xfId="0" applyNumberFormat="1" applyFont="1" applyBorder="1" applyAlignment="1">
      <alignment horizontal="center" vertical="center"/>
    </xf>
    <xf numFmtId="0" fontId="19" fillId="0" borderId="0" xfId="0" quotePrefix="1" applyFont="1"/>
    <xf numFmtId="165" fontId="8" fillId="0" borderId="71" xfId="0" applyNumberFormat="1" applyFont="1" applyBorder="1"/>
    <xf numFmtId="165" fontId="16" fillId="0" borderId="73" xfId="0" applyNumberFormat="1" applyFont="1" applyBorder="1" applyAlignment="1">
      <alignment horizontal="left"/>
    </xf>
    <xf numFmtId="0" fontId="9" fillId="0" borderId="73" xfId="0" applyFont="1" applyBorder="1"/>
    <xf numFmtId="0" fontId="9" fillId="0" borderId="74" xfId="0" applyFont="1" applyBorder="1"/>
    <xf numFmtId="167" fontId="8" fillId="0" borderId="27" xfId="0" applyNumberFormat="1" applyFont="1" applyBorder="1" applyAlignment="1">
      <alignment horizontal="center"/>
    </xf>
    <xf numFmtId="9" fontId="8" fillId="0" borderId="27" xfId="0" applyNumberFormat="1" applyFont="1" applyBorder="1" applyAlignment="1">
      <alignment horizontal="center"/>
    </xf>
    <xf numFmtId="165" fontId="8" fillId="0" borderId="28" xfId="0" applyNumberFormat="1" applyFont="1" applyBorder="1" applyAlignment="1">
      <alignment horizontal="center"/>
    </xf>
    <xf numFmtId="0" fontId="9" fillId="0" borderId="32" xfId="0" applyFont="1" applyBorder="1" applyAlignment="1">
      <alignment horizontal="center"/>
    </xf>
    <xf numFmtId="0" fontId="8" fillId="0" borderId="5" xfId="0" applyFont="1" applyBorder="1"/>
    <xf numFmtId="167" fontId="8" fillId="0" borderId="7" xfId="0" applyNumberFormat="1" applyFont="1" applyBorder="1" applyAlignment="1">
      <alignment horizontal="left"/>
    </xf>
    <xf numFmtId="0" fontId="8" fillId="0" borderId="7" xfId="0" applyFont="1" applyBorder="1"/>
    <xf numFmtId="167" fontId="8" fillId="0" borderId="30" xfId="0" applyNumberFormat="1" applyFont="1" applyBorder="1" applyAlignment="1">
      <alignment horizontal="center"/>
    </xf>
    <xf numFmtId="166" fontId="8" fillId="0" borderId="30" xfId="0" applyNumberFormat="1" applyFont="1" applyBorder="1" applyAlignment="1">
      <alignment horizontal="center"/>
    </xf>
    <xf numFmtId="165" fontId="8" fillId="0" borderId="31" xfId="0" applyNumberFormat="1" applyFont="1" applyBorder="1" applyAlignment="1">
      <alignment horizontal="center"/>
    </xf>
    <xf numFmtId="165" fontId="9" fillId="0" borderId="3" xfId="0" applyNumberFormat="1" applyFont="1" applyBorder="1" applyAlignment="1">
      <alignment horizontal="center"/>
    </xf>
    <xf numFmtId="165" fontId="9" fillId="0" borderId="1" xfId="0" applyNumberFormat="1" applyFont="1" applyBorder="1" applyAlignment="1">
      <alignment horizontal="center"/>
    </xf>
    <xf numFmtId="169" fontId="9" fillId="0" borderId="3" xfId="1" applyNumberFormat="1" applyFont="1" applyBorder="1"/>
    <xf numFmtId="169" fontId="9" fillId="0" borderId="13" xfId="1" applyNumberFormat="1" applyFont="1" applyBorder="1"/>
    <xf numFmtId="169" fontId="9" fillId="0" borderId="1" xfId="1" applyNumberFormat="1" applyFont="1" applyBorder="1"/>
    <xf numFmtId="179" fontId="9" fillId="0" borderId="15" xfId="0" applyNumberFormat="1" applyFont="1" applyBorder="1"/>
    <xf numFmtId="179" fontId="8" fillId="0" borderId="8" xfId="0" applyNumberFormat="1" applyFont="1" applyBorder="1"/>
    <xf numFmtId="179" fontId="9" fillId="0" borderId="3" xfId="0" applyNumberFormat="1" applyFont="1" applyBorder="1" applyAlignment="1">
      <alignment horizontal="center"/>
    </xf>
    <xf numFmtId="179" fontId="9" fillId="0" borderId="13" xfId="0" applyNumberFormat="1" applyFont="1" applyBorder="1" applyAlignment="1">
      <alignment horizontal="center"/>
    </xf>
    <xf numFmtId="179" fontId="9" fillId="0" borderId="1" xfId="0" applyNumberFormat="1" applyFont="1" applyBorder="1" applyAlignment="1">
      <alignment horizontal="center"/>
    </xf>
    <xf numFmtId="179" fontId="8" fillId="0" borderId="3" xfId="0" applyNumberFormat="1" applyFont="1" applyBorder="1" applyAlignment="1">
      <alignment horizontal="center" vertical="center"/>
    </xf>
    <xf numFmtId="179" fontId="8" fillId="0" borderId="2" xfId="0" applyNumberFormat="1" applyFont="1" applyBorder="1" applyAlignment="1">
      <alignment horizontal="center" vertical="center"/>
    </xf>
    <xf numFmtId="179" fontId="8" fillId="0" borderId="4" xfId="0" applyNumberFormat="1" applyFont="1" applyBorder="1" applyAlignment="1">
      <alignment horizontal="center"/>
    </xf>
    <xf numFmtId="165" fontId="9" fillId="0" borderId="2" xfId="0" applyNumberFormat="1" applyFont="1" applyBorder="1" applyAlignment="1">
      <alignment horizontal="right"/>
    </xf>
    <xf numFmtId="9" fontId="20" fillId="2" borderId="9" xfId="2" applyNumberFormat="1" applyFont="1" applyBorder="1" applyAlignment="1" applyProtection="1">
      <alignment horizontal="right"/>
      <protection locked="0"/>
    </xf>
    <xf numFmtId="168" fontId="9" fillId="0" borderId="2" xfId="0" applyNumberFormat="1" applyFont="1" applyBorder="1" applyAlignment="1">
      <alignment horizontal="right"/>
    </xf>
    <xf numFmtId="0" fontId="9" fillId="0" borderId="2" xfId="0" applyFont="1" applyBorder="1" applyAlignment="1">
      <alignment horizontal="right"/>
    </xf>
    <xf numFmtId="179" fontId="9" fillId="0" borderId="2" xfId="0" applyNumberFormat="1" applyFont="1" applyBorder="1" applyAlignment="1">
      <alignment horizontal="right"/>
    </xf>
    <xf numFmtId="179" fontId="8" fillId="0" borderId="4" xfId="0" applyNumberFormat="1" applyFont="1" applyBorder="1" applyAlignment="1">
      <alignment horizontal="right"/>
    </xf>
    <xf numFmtId="165" fontId="36" fillId="0" borderId="0" xfId="0" applyNumberFormat="1" applyFont="1" applyAlignment="1">
      <alignment horizontal="left"/>
    </xf>
    <xf numFmtId="0" fontId="0" fillId="10" borderId="0" xfId="0" applyFill="1"/>
    <xf numFmtId="165" fontId="36" fillId="0" borderId="0" xfId="0" applyNumberFormat="1" applyFont="1" applyFill="1" applyAlignment="1">
      <alignment horizontal="left"/>
    </xf>
    <xf numFmtId="165" fontId="16" fillId="0" borderId="0" xfId="0" applyNumberFormat="1" applyFont="1" applyFill="1" applyAlignment="1">
      <alignment horizontal="left"/>
    </xf>
    <xf numFmtId="165" fontId="8" fillId="0" borderId="0" xfId="0" applyNumberFormat="1" applyFont="1" applyFill="1" applyAlignment="1">
      <alignment horizontal="left"/>
    </xf>
    <xf numFmtId="0" fontId="2" fillId="0" borderId="2" xfId="0" applyFont="1" applyFill="1" applyBorder="1" applyAlignment="1">
      <alignment horizontal="center"/>
    </xf>
    <xf numFmtId="3" fontId="4" fillId="0" borderId="19" xfId="3" applyNumberFormat="1" applyFill="1" applyBorder="1"/>
    <xf numFmtId="0" fontId="8" fillId="5" borderId="77" xfId="6" applyFont="1" applyBorder="1" applyAlignment="1">
      <alignment vertical="top"/>
    </xf>
    <xf numFmtId="0" fontId="8" fillId="5" borderId="67" xfId="6" applyFont="1" applyBorder="1" applyAlignment="1">
      <alignment vertical="top"/>
    </xf>
    <xf numFmtId="0" fontId="8" fillId="5" borderId="78" xfId="6" applyFont="1" applyBorder="1" applyAlignment="1">
      <alignment vertical="top"/>
    </xf>
    <xf numFmtId="0" fontId="8" fillId="0" borderId="0" xfId="6" applyFont="1" applyFill="1" applyBorder="1" applyAlignment="1">
      <alignment vertical="top"/>
    </xf>
    <xf numFmtId="0" fontId="2" fillId="0" borderId="2" xfId="0" applyFont="1" applyFill="1" applyBorder="1" applyAlignment="1">
      <alignment horizontal="centerContinuous" wrapText="1"/>
    </xf>
    <xf numFmtId="2" fontId="3" fillId="2" borderId="9" xfId="2" applyNumberFormat="1" applyBorder="1" applyAlignment="1" applyProtection="1">
      <alignment horizontal="right"/>
      <protection locked="0"/>
    </xf>
    <xf numFmtId="2" fontId="4" fillId="0" borderId="38" xfId="3" applyNumberFormat="1" applyFill="1" applyBorder="1" applyAlignment="1">
      <alignment horizontal="right"/>
    </xf>
    <xf numFmtId="3" fontId="4" fillId="0" borderId="79" xfId="3" applyNumberFormat="1" applyFill="1" applyBorder="1"/>
    <xf numFmtId="3" fontId="3" fillId="2" borderId="81" xfId="2" applyNumberFormat="1" applyBorder="1" applyProtection="1">
      <protection locked="0"/>
    </xf>
    <xf numFmtId="3" fontId="4" fillId="0" borderId="82" xfId="3" applyNumberFormat="1" applyFill="1" applyBorder="1"/>
    <xf numFmtId="0" fontId="7" fillId="0" borderId="0" xfId="0" applyFont="1" applyFill="1" applyBorder="1" applyAlignment="1">
      <alignment horizontal="left"/>
    </xf>
    <xf numFmtId="0" fontId="0" fillId="0" borderId="0" xfId="0" applyFill="1" applyBorder="1"/>
    <xf numFmtId="2" fontId="4" fillId="3" borderId="16" xfId="3" applyNumberFormat="1" applyBorder="1" applyAlignment="1" applyProtection="1">
      <alignment horizontal="right"/>
      <protection locked="0"/>
    </xf>
    <xf numFmtId="2" fontId="4" fillId="0" borderId="25" xfId="3" applyNumberFormat="1" applyFill="1" applyBorder="1" applyAlignment="1">
      <alignment horizontal="right"/>
    </xf>
    <xf numFmtId="2" fontId="3" fillId="2" borderId="26" xfId="2" applyNumberFormat="1" applyBorder="1" applyAlignment="1" applyProtection="1">
      <alignment horizontal="right"/>
      <protection locked="0"/>
    </xf>
    <xf numFmtId="174" fontId="0" fillId="0" borderId="2" xfId="0" applyNumberFormat="1" applyBorder="1" applyAlignment="1">
      <alignment horizontal="center" vertical="center"/>
    </xf>
    <xf numFmtId="0" fontId="42" fillId="0" borderId="80" xfId="2" applyFont="1" applyFill="1" applyBorder="1" applyAlignment="1" applyProtection="1">
      <alignment horizontal="right"/>
      <protection locked="0"/>
    </xf>
    <xf numFmtId="0" fontId="2" fillId="0" borderId="8" xfId="0" applyFont="1" applyFill="1" applyBorder="1" applyAlignment="1">
      <alignment horizontal="centerContinuous" wrapText="1"/>
    </xf>
    <xf numFmtId="0" fontId="2" fillId="0" borderId="44" xfId="0" applyFont="1" applyFill="1" applyBorder="1" applyAlignment="1">
      <alignment horizontal="centerContinuous" wrapText="1"/>
    </xf>
    <xf numFmtId="9" fontId="20" fillId="2" borderId="56" xfId="2" applyNumberFormat="1" applyFont="1" applyBorder="1" applyAlignment="1" applyProtection="1">
      <alignment horizontal="right"/>
      <protection locked="0"/>
    </xf>
    <xf numFmtId="9" fontId="20" fillId="2" borderId="26" xfId="2" applyNumberFormat="1" applyFont="1" applyBorder="1" applyAlignment="1" applyProtection="1">
      <alignment horizontal="right"/>
      <protection locked="0"/>
    </xf>
    <xf numFmtId="165" fontId="9" fillId="0" borderId="8" xfId="0" applyNumberFormat="1" applyFont="1" applyBorder="1" applyAlignment="1">
      <alignment horizontal="right"/>
    </xf>
    <xf numFmtId="0" fontId="8" fillId="0" borderId="8" xfId="0" applyFont="1" applyBorder="1" applyAlignment="1">
      <alignment horizontal="right" vertical="center"/>
    </xf>
    <xf numFmtId="9" fontId="20" fillId="2" borderId="38" xfId="2" applyNumberFormat="1" applyFont="1" applyBorder="1" applyAlignment="1" applyProtection="1">
      <alignment horizontal="right"/>
      <protection locked="0"/>
    </xf>
    <xf numFmtId="179" fontId="8" fillId="0" borderId="71" xfId="0" applyNumberFormat="1" applyFont="1" applyBorder="1" applyAlignment="1">
      <alignment horizontal="right"/>
    </xf>
    <xf numFmtId="168" fontId="8" fillId="0" borderId="15" xfId="0" applyNumberFormat="1" applyFont="1" applyBorder="1"/>
    <xf numFmtId="9" fontId="9" fillId="0" borderId="15" xfId="0" applyNumberFormat="1" applyFont="1" applyBorder="1"/>
    <xf numFmtId="179" fontId="8" fillId="0" borderId="7" xfId="0" applyNumberFormat="1" applyFont="1" applyBorder="1"/>
    <xf numFmtId="0" fontId="8" fillId="0" borderId="6" xfId="0" applyFont="1" applyBorder="1" applyAlignment="1">
      <alignment horizontal="center" vertical="center"/>
    </xf>
    <xf numFmtId="0" fontId="8" fillId="0" borderId="29" xfId="0" applyFont="1" applyBorder="1" applyAlignment="1">
      <alignment horizontal="center" vertical="center"/>
    </xf>
    <xf numFmtId="0" fontId="0" fillId="10" borderId="0" xfId="0" applyFill="1" applyAlignment="1">
      <alignment horizontal="center"/>
    </xf>
    <xf numFmtId="0" fontId="0" fillId="10" borderId="0" xfId="0" applyFill="1" applyAlignment="1">
      <alignment vertical="center"/>
    </xf>
    <xf numFmtId="0" fontId="9" fillId="10" borderId="0" xfId="0" applyFont="1" applyFill="1" applyAlignment="1">
      <alignment wrapText="1"/>
    </xf>
    <xf numFmtId="165" fontId="9" fillId="0" borderId="0" xfId="0" applyNumberFormat="1" applyFont="1" applyFill="1"/>
    <xf numFmtId="165" fontId="8" fillId="0" borderId="0" xfId="0" applyNumberFormat="1" applyFont="1" applyFill="1" applyAlignment="1">
      <alignment horizontal="centerContinuous"/>
    </xf>
    <xf numFmtId="0" fontId="10" fillId="0" borderId="30" xfId="0" applyFont="1" applyFill="1" applyBorder="1" applyAlignment="1"/>
    <xf numFmtId="170" fontId="7" fillId="0" borderId="2" xfId="0" applyNumberFormat="1" applyFont="1" applyFill="1" applyBorder="1" applyAlignment="1">
      <alignment horizontal="center" vertical="center"/>
    </xf>
    <xf numFmtId="0" fontId="0" fillId="0" borderId="0" xfId="0" applyFill="1" applyAlignment="1">
      <alignment horizontal="center"/>
    </xf>
    <xf numFmtId="170" fontId="15" fillId="0" borderId="2" xfId="0" applyNumberFormat="1" applyFont="1" applyFill="1" applyBorder="1" applyAlignment="1">
      <alignment horizontal="center" vertical="center"/>
    </xf>
    <xf numFmtId="0" fontId="0" fillId="0" borderId="0" xfId="0" applyFill="1" applyAlignment="1">
      <alignment vertical="center"/>
    </xf>
    <xf numFmtId="176" fontId="0" fillId="0" borderId="0" xfId="0" applyNumberFormat="1" applyFill="1" applyBorder="1" applyAlignment="1">
      <alignment horizontal="center" vertical="center"/>
    </xf>
    <xf numFmtId="0" fontId="10" fillId="0" borderId="0" xfId="0" applyFont="1" applyFill="1" applyAlignment="1"/>
    <xf numFmtId="0" fontId="9" fillId="0" borderId="0" xfId="0" applyFont="1" applyFill="1" applyAlignment="1">
      <alignment wrapText="1"/>
    </xf>
    <xf numFmtId="0" fontId="9" fillId="0" borderId="2" xfId="0" applyFont="1" applyFill="1" applyBorder="1" applyAlignment="1">
      <alignment horizontal="center" wrapText="1"/>
    </xf>
    <xf numFmtId="0" fontId="9" fillId="0" borderId="0" xfId="0" applyFont="1" applyFill="1" applyAlignment="1">
      <alignment horizontal="center" wrapText="1"/>
    </xf>
    <xf numFmtId="170" fontId="35" fillId="3" borderId="33" xfId="9" applyNumberFormat="1" applyAlignment="1">
      <alignment horizontal="center" vertical="center"/>
    </xf>
    <xf numFmtId="0" fontId="0" fillId="0" borderId="2" xfId="0" applyFont="1" applyFill="1" applyBorder="1" applyAlignment="1">
      <alignment horizontal="center" vertical="center"/>
    </xf>
    <xf numFmtId="0" fontId="0" fillId="0" borderId="0" xfId="0" applyFill="1" applyAlignment="1">
      <alignment vertical="top"/>
    </xf>
    <xf numFmtId="170" fontId="43" fillId="0" borderId="2" xfId="0" applyNumberFormat="1" applyFont="1" applyFill="1" applyBorder="1" applyAlignment="1">
      <alignment horizontal="center" vertical="center"/>
    </xf>
    <xf numFmtId="170" fontId="44" fillId="3" borderId="33" xfId="9" applyNumberFormat="1" applyFont="1" applyAlignment="1">
      <alignment horizontal="center" vertical="center"/>
    </xf>
    <xf numFmtId="170" fontId="44" fillId="3" borderId="89" xfId="9" applyNumberFormat="1" applyFont="1" applyBorder="1" applyAlignment="1">
      <alignment horizontal="center" vertical="center"/>
    </xf>
    <xf numFmtId="165" fontId="35" fillId="3" borderId="33" xfId="9" applyNumberFormat="1" applyAlignment="1">
      <alignment horizontal="center" vertical="center"/>
    </xf>
    <xf numFmtId="10" fontId="35" fillId="3" borderId="33" xfId="9" applyNumberFormat="1" applyAlignment="1">
      <alignment horizontal="center" vertical="center"/>
    </xf>
    <xf numFmtId="0" fontId="9" fillId="0" borderId="2" xfId="0" applyFont="1" applyFill="1" applyBorder="1" applyAlignment="1">
      <alignment horizontal="center" vertical="center" wrapText="1"/>
    </xf>
    <xf numFmtId="165" fontId="36" fillId="0" borderId="73" xfId="0" applyNumberFormat="1" applyFont="1" applyFill="1" applyBorder="1" applyAlignment="1">
      <alignment horizontal="left"/>
    </xf>
    <xf numFmtId="0" fontId="2" fillId="0" borderId="91" xfId="0" applyFont="1" applyFill="1" applyBorder="1" applyAlignment="1">
      <alignment vertical="center" wrapText="1"/>
    </xf>
    <xf numFmtId="0" fontId="11" fillId="0" borderId="8" xfId="0" applyFont="1" applyFill="1" applyBorder="1" applyAlignment="1">
      <alignment horizontal="left" vertical="top"/>
    </xf>
    <xf numFmtId="0" fontId="0" fillId="0" borderId="0" xfId="0" applyFont="1" applyFill="1" applyAlignment="1"/>
    <xf numFmtId="0" fontId="0" fillId="0" borderId="0" xfId="0" applyFont="1" applyFill="1" applyAlignment="1">
      <alignment wrapText="1"/>
    </xf>
    <xf numFmtId="0" fontId="2" fillId="0" borderId="0" xfId="0" applyFont="1" applyFill="1" applyAlignment="1">
      <alignment horizontal="center"/>
    </xf>
    <xf numFmtId="165" fontId="19" fillId="10" borderId="0" xfId="0" applyNumberFormat="1" applyFont="1" applyFill="1"/>
    <xf numFmtId="10" fontId="9" fillId="10" borderId="0" xfId="1" applyNumberFormat="1" applyFont="1" applyFill="1"/>
    <xf numFmtId="165" fontId="26" fillId="10" borderId="0" xfId="0" applyNumberFormat="1" applyFont="1" applyFill="1"/>
    <xf numFmtId="165" fontId="8" fillId="10" borderId="0" xfId="0" applyNumberFormat="1" applyFont="1" applyFill="1"/>
    <xf numFmtId="165" fontId="9" fillId="0" borderId="0" xfId="0" applyNumberFormat="1" applyFont="1" applyFill="1" applyBorder="1" applyAlignment="1">
      <alignment horizontal="center"/>
    </xf>
    <xf numFmtId="9" fontId="9" fillId="0" borderId="0" xfId="1" applyFont="1" applyFill="1" applyBorder="1" applyAlignment="1">
      <alignment horizontal="center"/>
    </xf>
    <xf numFmtId="0" fontId="8" fillId="0" borderId="0" xfId="0" applyFont="1" applyFill="1"/>
    <xf numFmtId="165" fontId="9" fillId="0" borderId="0" xfId="0" applyNumberFormat="1" applyFont="1" applyFill="1" applyAlignment="1">
      <alignment horizontal="center"/>
    </xf>
    <xf numFmtId="165" fontId="9" fillId="0" borderId="0" xfId="0" applyNumberFormat="1" applyFont="1" applyFill="1" applyBorder="1"/>
    <xf numFmtId="165" fontId="9" fillId="0" borderId="0" xfId="0" applyNumberFormat="1" applyFont="1" applyFill="1" applyBorder="1" applyAlignment="1">
      <alignment horizontal="right"/>
    </xf>
    <xf numFmtId="165" fontId="9" fillId="0" borderId="32" xfId="0" applyNumberFormat="1" applyFont="1" applyFill="1" applyBorder="1" applyAlignment="1">
      <alignment horizontal="left"/>
    </xf>
    <xf numFmtId="165" fontId="9" fillId="0" borderId="15" xfId="0" applyNumberFormat="1" applyFont="1" applyFill="1" applyBorder="1" applyAlignment="1">
      <alignment horizontal="center"/>
    </xf>
    <xf numFmtId="165" fontId="9" fillId="0" borderId="84" xfId="0" applyNumberFormat="1" applyFont="1" applyFill="1" applyBorder="1" applyAlignment="1">
      <alignment horizontal="left"/>
    </xf>
    <xf numFmtId="165" fontId="9" fillId="0" borderId="71" xfId="0" applyNumberFormat="1" applyFont="1" applyFill="1" applyBorder="1" applyAlignment="1">
      <alignment horizontal="center"/>
    </xf>
    <xf numFmtId="165" fontId="9" fillId="0" borderId="29" xfId="0" applyNumberFormat="1" applyFont="1" applyFill="1" applyBorder="1" applyAlignment="1">
      <alignment horizontal="left"/>
    </xf>
    <xf numFmtId="9" fontId="9" fillId="0" borderId="31" xfId="1" applyFont="1" applyFill="1" applyBorder="1" applyAlignment="1">
      <alignment horizontal="center"/>
    </xf>
    <xf numFmtId="165" fontId="9" fillId="0" borderId="15" xfId="0" applyNumberFormat="1" applyFont="1" applyFill="1" applyBorder="1"/>
    <xf numFmtId="0" fontId="9" fillId="0" borderId="32" xfId="0" applyFont="1" applyFill="1" applyBorder="1"/>
    <xf numFmtId="0" fontId="9" fillId="0" borderId="29" xfId="0" applyFont="1" applyFill="1" applyBorder="1"/>
    <xf numFmtId="0" fontId="9" fillId="0" borderId="30" xfId="0" applyFont="1" applyFill="1" applyBorder="1"/>
    <xf numFmtId="171" fontId="9" fillId="0" borderId="30" xfId="0" applyNumberFormat="1" applyFont="1" applyFill="1" applyBorder="1"/>
    <xf numFmtId="165" fontId="9" fillId="0" borderId="7" xfId="0" applyNumberFormat="1" applyFont="1" applyFill="1" applyBorder="1"/>
    <xf numFmtId="165" fontId="9" fillId="0" borderId="7" xfId="0" applyNumberFormat="1" applyFont="1" applyFill="1" applyBorder="1" applyAlignment="1">
      <alignment horizontal="right"/>
    </xf>
    <xf numFmtId="165" fontId="9" fillId="0" borderId="13" xfId="0" applyNumberFormat="1" applyFont="1" applyFill="1" applyBorder="1" applyAlignment="1">
      <alignment horizontal="right"/>
    </xf>
    <xf numFmtId="165" fontId="9" fillId="0" borderId="2" xfId="0" applyNumberFormat="1" applyFont="1" applyFill="1" applyBorder="1" applyAlignment="1">
      <alignment horizontal="right"/>
    </xf>
    <xf numFmtId="165" fontId="17" fillId="0" borderId="0" xfId="7" applyNumberFormat="1" applyFont="1" applyFill="1" applyBorder="1" applyAlignment="1">
      <alignment horizontal="center"/>
    </xf>
    <xf numFmtId="165" fontId="17" fillId="0" borderId="0" xfId="7" applyNumberFormat="1" applyFont="1" applyFill="1" applyBorder="1" applyAlignment="1">
      <alignment horizontal="right"/>
    </xf>
    <xf numFmtId="165" fontId="8" fillId="0" borderId="92" xfId="0" applyNumberFormat="1" applyFont="1" applyBorder="1" applyAlignment="1">
      <alignment horizontal="center"/>
    </xf>
    <xf numFmtId="10" fontId="9" fillId="10" borderId="0" xfId="0" applyNumberFormat="1" applyFont="1" applyFill="1"/>
    <xf numFmtId="166" fontId="9" fillId="10" borderId="0" xfId="0" applyNumberFormat="1" applyFont="1" applyFill="1"/>
    <xf numFmtId="170" fontId="9" fillId="10" borderId="0" xfId="0" applyNumberFormat="1" applyFont="1" applyFill="1"/>
    <xf numFmtId="165" fontId="9" fillId="0" borderId="27" xfId="0" applyNumberFormat="1" applyFont="1" applyFill="1" applyBorder="1"/>
    <xf numFmtId="165" fontId="8" fillId="0" borderId="14" xfId="0" applyNumberFormat="1" applyFont="1" applyFill="1" applyBorder="1"/>
    <xf numFmtId="175" fontId="9" fillId="0" borderId="27" xfId="0" applyNumberFormat="1" applyFont="1" applyFill="1" applyBorder="1" applyAlignment="1">
      <alignment horizontal="center"/>
    </xf>
    <xf numFmtId="175" fontId="9" fillId="0" borderId="28" xfId="0" applyNumberFormat="1" applyFont="1" applyFill="1" applyBorder="1" applyAlignment="1">
      <alignment horizontal="center"/>
    </xf>
    <xf numFmtId="175" fontId="9" fillId="0" borderId="0" xfId="0" applyNumberFormat="1" applyFont="1" applyFill="1" applyBorder="1" applyAlignment="1">
      <alignment horizontal="center"/>
    </xf>
    <xf numFmtId="175" fontId="9" fillId="0" borderId="15" xfId="0" applyNumberFormat="1" applyFont="1" applyFill="1" applyBorder="1" applyAlignment="1">
      <alignment horizontal="center"/>
    </xf>
    <xf numFmtId="165" fontId="9" fillId="0" borderId="30" xfId="0" applyNumberFormat="1" applyFont="1" applyFill="1" applyBorder="1"/>
    <xf numFmtId="165" fontId="9" fillId="0" borderId="31" xfId="0" applyNumberFormat="1" applyFont="1" applyFill="1" applyBorder="1"/>
    <xf numFmtId="170" fontId="9" fillId="0" borderId="27" xfId="0" applyNumberFormat="1" applyFont="1" applyFill="1" applyBorder="1"/>
    <xf numFmtId="0" fontId="9" fillId="0" borderId="28" xfId="0" applyFont="1" applyFill="1" applyBorder="1"/>
    <xf numFmtId="164" fontId="9" fillId="0" borderId="30" xfId="0" applyNumberFormat="1" applyFont="1" applyFill="1" applyBorder="1" applyAlignment="1">
      <alignment horizontal="right" vertical="center"/>
    </xf>
    <xf numFmtId="164" fontId="9" fillId="0" borderId="31"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0" fontId="9" fillId="0" borderId="0" xfId="0" applyNumberFormat="1" applyFont="1" applyFill="1"/>
    <xf numFmtId="10" fontId="9" fillId="0" borderId="27" xfId="0" applyNumberFormat="1" applyFont="1" applyFill="1" applyBorder="1"/>
    <xf numFmtId="10" fontId="9" fillId="0" borderId="28" xfId="0" applyNumberFormat="1" applyFont="1" applyFill="1" applyBorder="1"/>
    <xf numFmtId="10" fontId="9" fillId="0" borderId="30" xfId="0" applyNumberFormat="1" applyFont="1" applyFill="1" applyBorder="1"/>
    <xf numFmtId="10" fontId="9" fillId="0" borderId="31" xfId="0" applyNumberFormat="1" applyFont="1" applyFill="1" applyBorder="1"/>
    <xf numFmtId="165" fontId="9" fillId="0" borderId="28" xfId="0" applyNumberFormat="1" applyFont="1" applyFill="1" applyBorder="1"/>
    <xf numFmtId="0" fontId="9" fillId="0" borderId="0" xfId="0" applyFont="1" applyFill="1" applyBorder="1" applyAlignment="1">
      <alignment horizontal="center"/>
    </xf>
    <xf numFmtId="0" fontId="9" fillId="0" borderId="30" xfId="0" applyFont="1" applyFill="1" applyBorder="1" applyAlignment="1">
      <alignment horizontal="center"/>
    </xf>
    <xf numFmtId="170" fontId="9" fillId="0" borderId="30" xfId="0" applyNumberFormat="1" applyFont="1" applyFill="1" applyBorder="1"/>
    <xf numFmtId="170" fontId="9" fillId="0" borderId="31" xfId="0" applyNumberFormat="1" applyFont="1" applyFill="1" applyBorder="1"/>
    <xf numFmtId="166" fontId="9" fillId="0" borderId="0" xfId="0" applyNumberFormat="1" applyFont="1" applyFill="1"/>
    <xf numFmtId="166" fontId="9" fillId="0" borderId="0" xfId="0" applyNumberFormat="1" applyFont="1" applyFill="1" applyBorder="1"/>
    <xf numFmtId="166" fontId="9" fillId="0" borderId="15" xfId="0" applyNumberFormat="1" applyFont="1" applyFill="1" applyBorder="1"/>
    <xf numFmtId="170" fontId="9" fillId="0" borderId="0" xfId="0" applyNumberFormat="1" applyFont="1" applyFill="1"/>
    <xf numFmtId="165" fontId="9" fillId="0" borderId="3" xfId="0" applyNumberFormat="1" applyFont="1" applyFill="1" applyBorder="1"/>
    <xf numFmtId="0" fontId="26" fillId="0" borderId="0" xfId="0" applyFont="1" applyFill="1"/>
    <xf numFmtId="165" fontId="9" fillId="0" borderId="14" xfId="0" applyNumberFormat="1" applyFont="1" applyFill="1" applyBorder="1"/>
    <xf numFmtId="165" fontId="9" fillId="0" borderId="32" xfId="0" applyNumberFormat="1" applyFont="1" applyBorder="1" applyAlignment="1">
      <alignment horizontal="right"/>
    </xf>
    <xf numFmtId="165" fontId="8" fillId="0" borderId="84" xfId="0" applyNumberFormat="1" applyFont="1" applyBorder="1" applyAlignment="1">
      <alignment horizontal="right"/>
    </xf>
    <xf numFmtId="165" fontId="9" fillId="0" borderId="29" xfId="0" applyNumberFormat="1" applyFont="1" applyBorder="1" applyAlignment="1">
      <alignment horizontal="right"/>
    </xf>
    <xf numFmtId="165" fontId="9" fillId="0" borderId="6" xfId="0" applyNumberFormat="1" applyFont="1" applyBorder="1" applyAlignment="1">
      <alignment horizontal="right"/>
    </xf>
    <xf numFmtId="165" fontId="9" fillId="0" borderId="32" xfId="0" applyNumberFormat="1" applyFont="1" applyBorder="1"/>
    <xf numFmtId="165" fontId="9" fillId="0" borderId="5" xfId="0" applyNumberFormat="1" applyFont="1" applyBorder="1"/>
    <xf numFmtId="165" fontId="19" fillId="6" borderId="5" xfId="0" applyNumberFormat="1" applyFont="1" applyFill="1" applyBorder="1"/>
    <xf numFmtId="165" fontId="19" fillId="6" borderId="7" xfId="0" applyNumberFormat="1" applyFont="1" applyFill="1" applyBorder="1"/>
    <xf numFmtId="165" fontId="19" fillId="6" borderId="8" xfId="0" applyNumberFormat="1" applyFont="1" applyFill="1" applyBorder="1"/>
    <xf numFmtId="10" fontId="9" fillId="0" borderId="5" xfId="1" applyNumberFormat="1" applyFont="1" applyBorder="1"/>
    <xf numFmtId="10" fontId="9" fillId="0" borderId="7" xfId="1" applyNumberFormat="1" applyFont="1" applyBorder="1"/>
    <xf numFmtId="10" fontId="9" fillId="0" borderId="8" xfId="1" applyNumberFormat="1" applyFont="1" applyBorder="1"/>
    <xf numFmtId="165" fontId="19" fillId="6" borderId="2" xfId="0" applyNumberFormat="1" applyFont="1" applyFill="1" applyBorder="1" applyAlignment="1">
      <alignment horizontal="center"/>
    </xf>
    <xf numFmtId="10" fontId="9" fillId="0" borderId="2" xfId="1" applyNumberFormat="1" applyFont="1" applyBorder="1" applyAlignment="1">
      <alignment horizontal="center"/>
    </xf>
    <xf numFmtId="165" fontId="45" fillId="0" borderId="29" xfId="0" applyNumberFormat="1" applyFont="1" applyBorder="1"/>
    <xf numFmtId="165" fontId="45" fillId="0" borderId="32" xfId="0" applyNumberFormat="1" applyFont="1" applyBorder="1"/>
    <xf numFmtId="165" fontId="8" fillId="0" borderId="93" xfId="0" applyNumberFormat="1" applyFont="1" applyBorder="1"/>
    <xf numFmtId="165" fontId="8" fillId="0" borderId="94" xfId="0" applyNumberFormat="1" applyFont="1" applyBorder="1"/>
    <xf numFmtId="165" fontId="8" fillId="0" borderId="95" xfId="0" applyNumberFormat="1" applyFont="1" applyBorder="1"/>
    <xf numFmtId="165" fontId="8" fillId="0" borderId="84" xfId="0" applyNumberFormat="1" applyFont="1" applyBorder="1"/>
    <xf numFmtId="165" fontId="8" fillId="14" borderId="2" xfId="0" applyNumberFormat="1" applyFont="1" applyFill="1" applyBorder="1"/>
    <xf numFmtId="173" fontId="9" fillId="0" borderId="0" xfId="0" applyNumberFormat="1" applyFont="1" applyBorder="1"/>
    <xf numFmtId="173" fontId="9" fillId="0" borderId="15" xfId="0" applyNumberFormat="1" applyFont="1" applyBorder="1"/>
    <xf numFmtId="165" fontId="9" fillId="8" borderId="2" xfId="0" applyNumberFormat="1" applyFont="1" applyFill="1" applyBorder="1" applyAlignment="1">
      <alignment horizontal="center"/>
    </xf>
    <xf numFmtId="170" fontId="9" fillId="8" borderId="2" xfId="0" applyNumberFormat="1" applyFont="1" applyFill="1" applyBorder="1"/>
    <xf numFmtId="165" fontId="9" fillId="9" borderId="2" xfId="0" applyNumberFormat="1" applyFont="1" applyFill="1" applyBorder="1"/>
    <xf numFmtId="165" fontId="9" fillId="9" borderId="2" xfId="0" applyNumberFormat="1" applyFont="1" applyFill="1" applyBorder="1" applyAlignment="1">
      <alignment horizontal="center"/>
    </xf>
    <xf numFmtId="165" fontId="9" fillId="9" borderId="3" xfId="0" applyNumberFormat="1" applyFont="1" applyFill="1" applyBorder="1"/>
    <xf numFmtId="173" fontId="9" fillId="0" borderId="27" xfId="0" applyNumberFormat="1" applyFont="1" applyBorder="1"/>
    <xf numFmtId="173" fontId="9" fillId="0" borderId="28" xfId="0" applyNumberFormat="1" applyFont="1" applyBorder="1"/>
    <xf numFmtId="165" fontId="26" fillId="0" borderId="8" xfId="0" applyNumberFormat="1" applyFont="1" applyBorder="1"/>
    <xf numFmtId="165" fontId="4" fillId="3" borderId="16" xfId="3" applyNumberFormat="1" applyBorder="1"/>
    <xf numFmtId="165" fontId="4" fillId="3" borderId="25" xfId="3" applyNumberFormat="1" applyBorder="1"/>
    <xf numFmtId="165" fontId="4" fillId="3" borderId="18" xfId="3" applyNumberFormat="1" applyBorder="1"/>
    <xf numFmtId="165" fontId="4" fillId="3" borderId="40" xfId="3" applyNumberFormat="1" applyBorder="1"/>
    <xf numFmtId="9" fontId="9" fillId="0" borderId="3" xfId="1" applyFont="1" applyBorder="1" applyAlignment="1">
      <alignment horizontal="center"/>
    </xf>
    <xf numFmtId="165" fontId="26" fillId="0" borderId="2" xfId="0" applyNumberFormat="1" applyFont="1" applyBorder="1" applyAlignment="1">
      <alignment horizontal="center"/>
    </xf>
    <xf numFmtId="9" fontId="9" fillId="0" borderId="13" xfId="1" applyFont="1" applyBorder="1" applyAlignment="1">
      <alignment horizontal="center"/>
    </xf>
    <xf numFmtId="165" fontId="4" fillId="3" borderId="18" xfId="3" applyNumberFormat="1" applyBorder="1" applyAlignment="1">
      <alignment horizontal="center"/>
    </xf>
    <xf numFmtId="165" fontId="8" fillId="8" borderId="2" xfId="0" applyNumberFormat="1" applyFont="1" applyFill="1" applyBorder="1"/>
    <xf numFmtId="165" fontId="9" fillId="8" borderId="2" xfId="0" applyNumberFormat="1" applyFont="1" applyFill="1" applyBorder="1" applyAlignment="1">
      <alignment horizontal="right"/>
    </xf>
    <xf numFmtId="165" fontId="9" fillId="8" borderId="3" xfId="0" applyNumberFormat="1" applyFont="1" applyFill="1" applyBorder="1" applyAlignment="1">
      <alignment horizontal="right"/>
    </xf>
    <xf numFmtId="165" fontId="8" fillId="15" borderId="2" xfId="0" applyNumberFormat="1" applyFont="1" applyFill="1" applyBorder="1"/>
    <xf numFmtId="165" fontId="9" fillId="0" borderId="13" xfId="0" applyNumberFormat="1" applyFont="1" applyBorder="1" applyAlignment="1">
      <alignment horizontal="right"/>
    </xf>
    <xf numFmtId="165" fontId="26" fillId="0" borderId="2" xfId="0" applyNumberFormat="1" applyFont="1" applyBorder="1" applyAlignment="1">
      <alignment horizontal="right"/>
    </xf>
    <xf numFmtId="165" fontId="9" fillId="0" borderId="96" xfId="6" applyNumberFormat="1" applyFont="1" applyFill="1" applyBorder="1"/>
    <xf numFmtId="165" fontId="9" fillId="0" borderId="97" xfId="6" applyNumberFormat="1" applyFont="1" applyFill="1" applyBorder="1"/>
    <xf numFmtId="173" fontId="9" fillId="0" borderId="30" xfId="0" applyNumberFormat="1" applyFont="1" applyBorder="1"/>
    <xf numFmtId="173" fontId="9" fillId="0" borderId="31" xfId="0" applyNumberFormat="1" applyFont="1" applyBorder="1"/>
    <xf numFmtId="10" fontId="9" fillId="0" borderId="3" xfId="1" applyNumberFormat="1" applyFont="1" applyBorder="1" applyAlignment="1">
      <alignment horizontal="center"/>
    </xf>
    <xf numFmtId="10" fontId="9" fillId="0" borderId="13" xfId="1" applyNumberFormat="1" applyFont="1" applyBorder="1" applyAlignment="1">
      <alignment horizontal="center"/>
    </xf>
    <xf numFmtId="165" fontId="17" fillId="7" borderId="5" xfId="7" applyNumberFormat="1" applyFont="1" applyBorder="1" applyAlignment="1">
      <alignment horizontal="center"/>
    </xf>
    <xf numFmtId="165" fontId="46" fillId="0" borderId="32" xfId="0" applyNumberFormat="1" applyFont="1" applyFill="1" applyBorder="1"/>
    <xf numFmtId="165" fontId="9" fillId="16" borderId="29" xfId="0" applyNumberFormat="1" applyFont="1" applyFill="1" applyBorder="1"/>
    <xf numFmtId="165" fontId="9" fillId="16" borderId="3" xfId="0" applyNumberFormat="1" applyFont="1" applyFill="1" applyBorder="1" applyAlignment="1">
      <alignment horizontal="center"/>
    </xf>
    <xf numFmtId="165" fontId="9" fillId="16" borderId="31" xfId="0" applyNumberFormat="1" applyFont="1" applyFill="1" applyBorder="1" applyAlignment="1">
      <alignment horizontal="center"/>
    </xf>
    <xf numFmtId="165" fontId="9" fillId="16" borderId="5" xfId="0" applyNumberFormat="1" applyFont="1" applyFill="1" applyBorder="1"/>
    <xf numFmtId="165" fontId="9" fillId="16" borderId="13" xfId="0" applyNumberFormat="1" applyFont="1" applyFill="1" applyBorder="1" applyAlignment="1">
      <alignment horizontal="center"/>
    </xf>
    <xf numFmtId="165" fontId="9" fillId="16" borderId="8" xfId="0" applyNumberFormat="1" applyFont="1" applyFill="1" applyBorder="1" applyAlignment="1">
      <alignment horizontal="center"/>
    </xf>
    <xf numFmtId="165" fontId="9" fillId="16" borderId="1" xfId="0" applyNumberFormat="1" applyFont="1" applyFill="1" applyBorder="1" applyAlignment="1">
      <alignment horizontal="center"/>
    </xf>
    <xf numFmtId="165" fontId="8" fillId="16" borderId="2" xfId="0" applyNumberFormat="1" applyFont="1" applyFill="1" applyBorder="1"/>
    <xf numFmtId="0" fontId="20" fillId="2" borderId="2" xfId="2" applyFont="1" applyBorder="1" applyProtection="1">
      <protection locked="0"/>
    </xf>
    <xf numFmtId="165" fontId="9" fillId="0" borderId="6" xfId="0" applyNumberFormat="1" applyFont="1" applyBorder="1" applyAlignment="1">
      <alignment horizontal="left" vertical="top"/>
    </xf>
    <xf numFmtId="2" fontId="4" fillId="0" borderId="57" xfId="3" applyNumberFormat="1" applyFill="1" applyBorder="1" applyAlignment="1">
      <alignment horizontal="right"/>
    </xf>
    <xf numFmtId="0" fontId="4" fillId="3" borderId="41" xfId="3" applyBorder="1" applyAlignment="1" applyProtection="1">
      <alignment horizontal="center" vertical="center"/>
      <protection locked="0"/>
    </xf>
    <xf numFmtId="0" fontId="4" fillId="0" borderId="21" xfId="3" applyFill="1" applyBorder="1" applyAlignment="1">
      <alignment horizontal="center" vertical="center"/>
    </xf>
    <xf numFmtId="165" fontId="8" fillId="17" borderId="2" xfId="0" applyNumberFormat="1" applyFont="1" applyFill="1" applyBorder="1"/>
    <xf numFmtId="165" fontId="9" fillId="17" borderId="2" xfId="0" applyNumberFormat="1" applyFont="1" applyFill="1" applyBorder="1" applyAlignment="1">
      <alignment horizontal="right"/>
    </xf>
    <xf numFmtId="165" fontId="9" fillId="17" borderId="2" xfId="0" applyNumberFormat="1" applyFont="1" applyFill="1" applyBorder="1" applyAlignment="1">
      <alignment horizontal="center"/>
    </xf>
    <xf numFmtId="170" fontId="9" fillId="17" borderId="2" xfId="0" applyNumberFormat="1" applyFont="1" applyFill="1" applyBorder="1"/>
    <xf numFmtId="165" fontId="9" fillId="17" borderId="3" xfId="0" applyNumberFormat="1" applyFont="1" applyFill="1" applyBorder="1" applyAlignment="1">
      <alignment horizontal="right"/>
    </xf>
    <xf numFmtId="0" fontId="8" fillId="14" borderId="2" xfId="0" applyFont="1" applyFill="1" applyBorder="1"/>
    <xf numFmtId="165" fontId="9" fillId="0" borderId="6" xfId="0" applyNumberFormat="1" applyFont="1" applyFill="1" applyBorder="1" applyAlignment="1">
      <alignment horizontal="left"/>
    </xf>
    <xf numFmtId="165" fontId="9" fillId="0" borderId="28" xfId="0" applyNumberFormat="1" applyFont="1" applyFill="1" applyBorder="1" applyAlignment="1">
      <alignment horizontal="center"/>
    </xf>
    <xf numFmtId="165" fontId="9" fillId="0" borderId="31" xfId="0" applyNumberFormat="1" applyFont="1" applyFill="1" applyBorder="1" applyAlignment="1">
      <alignment horizontal="center"/>
    </xf>
    <xf numFmtId="165" fontId="8" fillId="14" borderId="2" xfId="0" applyNumberFormat="1" applyFont="1" applyFill="1" applyBorder="1" applyAlignment="1">
      <alignment horizontal="left"/>
    </xf>
    <xf numFmtId="165" fontId="17" fillId="18" borderId="5" xfId="7" applyNumberFormat="1" applyFont="1" applyFill="1" applyBorder="1" applyAlignment="1">
      <alignment horizontal="right"/>
    </xf>
    <xf numFmtId="165" fontId="17" fillId="18" borderId="7" xfId="7" applyNumberFormat="1" applyFont="1" applyFill="1" applyBorder="1" applyAlignment="1">
      <alignment horizontal="center"/>
    </xf>
    <xf numFmtId="165" fontId="17" fillId="18" borderId="8" xfId="7" applyNumberFormat="1" applyFont="1" applyFill="1" applyBorder="1" applyAlignment="1">
      <alignment horizontal="center"/>
    </xf>
    <xf numFmtId="0" fontId="8" fillId="14" borderId="3" xfId="0" applyFont="1" applyFill="1" applyBorder="1"/>
    <xf numFmtId="165" fontId="9" fillId="18" borderId="5" xfId="0" applyNumberFormat="1" applyFont="1" applyFill="1" applyBorder="1" applyAlignment="1">
      <alignment horizontal="right"/>
    </xf>
    <xf numFmtId="0" fontId="9" fillId="18" borderId="5" xfId="0" applyFont="1" applyFill="1" applyBorder="1"/>
    <xf numFmtId="165" fontId="9" fillId="18" borderId="7" xfId="0" applyNumberFormat="1" applyFont="1" applyFill="1" applyBorder="1" applyAlignment="1">
      <alignment horizontal="center"/>
    </xf>
    <xf numFmtId="165" fontId="9" fillId="18" borderId="8" xfId="0" applyNumberFormat="1" applyFont="1" applyFill="1" applyBorder="1" applyAlignment="1">
      <alignment horizontal="center"/>
    </xf>
    <xf numFmtId="165" fontId="8" fillId="0" borderId="0" xfId="0" applyNumberFormat="1" applyFont="1" applyFill="1" applyBorder="1"/>
    <xf numFmtId="0" fontId="8" fillId="0" borderId="5" xfId="0" applyFont="1" applyFill="1" applyBorder="1"/>
    <xf numFmtId="0" fontId="26" fillId="0" borderId="7" xfId="0" applyFont="1" applyFill="1" applyBorder="1"/>
    <xf numFmtId="165" fontId="26" fillId="0" borderId="7" xfId="0" applyNumberFormat="1" applyFont="1" applyFill="1" applyBorder="1"/>
    <xf numFmtId="165" fontId="26" fillId="0" borderId="8" xfId="0" applyNumberFormat="1" applyFont="1" applyFill="1" applyBorder="1"/>
    <xf numFmtId="0" fontId="8" fillId="0" borderId="84" xfId="0" applyFont="1" applyFill="1" applyBorder="1"/>
    <xf numFmtId="165" fontId="8" fillId="0" borderId="71" xfId="0" applyNumberFormat="1" applyFont="1" applyFill="1" applyBorder="1"/>
    <xf numFmtId="0" fontId="8" fillId="0" borderId="0" xfId="0" applyFont="1" applyFill="1" applyBorder="1"/>
    <xf numFmtId="0" fontId="9" fillId="0" borderId="14" xfId="0" applyFont="1" applyFill="1" applyBorder="1"/>
    <xf numFmtId="165" fontId="9" fillId="0" borderId="71" xfId="0" applyNumberFormat="1" applyFont="1" applyFill="1" applyBorder="1"/>
    <xf numFmtId="165" fontId="8" fillId="14" borderId="3" xfId="0" applyNumberFormat="1" applyFont="1" applyFill="1" applyBorder="1" applyAlignment="1">
      <alignment horizontal="left"/>
    </xf>
    <xf numFmtId="0" fontId="9" fillId="0" borderId="6" xfId="0" applyFont="1" applyFill="1" applyBorder="1"/>
    <xf numFmtId="172" fontId="9" fillId="0" borderId="30" xfId="0" applyNumberFormat="1" applyFont="1" applyFill="1" applyBorder="1"/>
    <xf numFmtId="165" fontId="9" fillId="0" borderId="0" xfId="0" applyNumberFormat="1" applyFont="1" applyFill="1" applyAlignment="1">
      <alignment horizontal="left" vertical="top"/>
    </xf>
    <xf numFmtId="0" fontId="30" fillId="0" borderId="0" xfId="0" applyFont="1" applyFill="1" applyBorder="1"/>
    <xf numFmtId="165" fontId="8" fillId="14" borderId="3" xfId="0" applyNumberFormat="1" applyFont="1" applyFill="1" applyBorder="1"/>
    <xf numFmtId="0" fontId="8" fillId="10" borderId="0" xfId="0" applyFont="1" applyFill="1" applyBorder="1"/>
    <xf numFmtId="165" fontId="9" fillId="0" borderId="30" xfId="0" applyNumberFormat="1" applyFont="1" applyFill="1" applyBorder="1" applyAlignment="1">
      <alignment horizontal="center"/>
    </xf>
    <xf numFmtId="0" fontId="21" fillId="14" borderId="2" xfId="0" applyFont="1" applyFill="1" applyBorder="1"/>
    <xf numFmtId="0" fontId="9" fillId="0" borderId="0" xfId="0" applyFont="1" applyFill="1" applyBorder="1" applyAlignment="1">
      <alignment horizontal="right"/>
    </xf>
    <xf numFmtId="165" fontId="9" fillId="0" borderId="2" xfId="0" applyNumberFormat="1" applyFont="1" applyFill="1" applyBorder="1"/>
    <xf numFmtId="10" fontId="9" fillId="0" borderId="2" xfId="0" applyNumberFormat="1" applyFont="1" applyFill="1" applyBorder="1"/>
    <xf numFmtId="0" fontId="9" fillId="0" borderId="3" xfId="0" applyFont="1" applyFill="1" applyBorder="1"/>
    <xf numFmtId="0" fontId="8" fillId="0" borderId="4" xfId="0" applyFont="1" applyFill="1" applyBorder="1"/>
    <xf numFmtId="0" fontId="9" fillId="0" borderId="3" xfId="0" quotePrefix="1" applyFont="1" applyFill="1" applyBorder="1"/>
    <xf numFmtId="0" fontId="8" fillId="0" borderId="3" xfId="0" applyFont="1" applyFill="1" applyBorder="1"/>
    <xf numFmtId="0" fontId="8" fillId="0" borderId="13" xfId="0" applyFont="1" applyFill="1" applyBorder="1"/>
    <xf numFmtId="165" fontId="8" fillId="0" borderId="1" xfId="0" applyNumberFormat="1" applyFont="1" applyFill="1" applyBorder="1"/>
    <xf numFmtId="0" fontId="9" fillId="0" borderId="13" xfId="0" applyFont="1" applyFill="1" applyBorder="1" applyAlignment="1">
      <alignment horizontal="right"/>
    </xf>
    <xf numFmtId="0" fontId="9" fillId="0" borderId="1" xfId="0" applyFont="1" applyFill="1" applyBorder="1" applyAlignment="1">
      <alignment horizontal="right"/>
    </xf>
    <xf numFmtId="10" fontId="9" fillId="0" borderId="3" xfId="0" applyNumberFormat="1" applyFont="1" applyFill="1" applyBorder="1"/>
    <xf numFmtId="10" fontId="9" fillId="0" borderId="1" xfId="0" applyNumberFormat="1" applyFont="1" applyFill="1" applyBorder="1"/>
    <xf numFmtId="0" fontId="26" fillId="0" borderId="3" xfId="0" applyFont="1" applyFill="1" applyBorder="1"/>
    <xf numFmtId="166" fontId="9" fillId="0" borderId="3" xfId="0" applyNumberFormat="1" applyFont="1" applyFill="1" applyBorder="1"/>
    <xf numFmtId="166" fontId="9" fillId="0" borderId="13" xfId="0" applyNumberFormat="1" applyFont="1" applyFill="1" applyBorder="1"/>
    <xf numFmtId="170" fontId="9" fillId="0" borderId="1" xfId="0" applyNumberFormat="1" applyFont="1" applyFill="1" applyBorder="1"/>
    <xf numFmtId="0" fontId="26" fillId="0" borderId="2" xfId="0" applyFont="1" applyFill="1" applyBorder="1"/>
    <xf numFmtId="0" fontId="8" fillId="10" borderId="32" xfId="0" applyFont="1" applyFill="1" applyBorder="1"/>
    <xf numFmtId="165" fontId="9" fillId="10" borderId="0" xfId="0" applyNumberFormat="1" applyFont="1" applyFill="1" applyBorder="1"/>
    <xf numFmtId="165" fontId="9" fillId="10" borderId="15" xfId="0" applyNumberFormat="1" applyFont="1" applyFill="1" applyBorder="1"/>
    <xf numFmtId="0" fontId="9" fillId="0" borderId="1" xfId="0" applyFont="1" applyBorder="1"/>
    <xf numFmtId="0" fontId="8" fillId="14" borderId="98" xfId="0" applyFont="1" applyFill="1" applyBorder="1"/>
    <xf numFmtId="0" fontId="16" fillId="14" borderId="98" xfId="0" applyFont="1" applyFill="1" applyBorder="1"/>
    <xf numFmtId="0" fontId="9" fillId="0" borderId="2" xfId="0" applyFont="1" applyBorder="1" applyAlignment="1" applyProtection="1">
      <alignment horizontal="center"/>
      <protection locked="0"/>
    </xf>
    <xf numFmtId="0" fontId="0" fillId="10" borderId="0" xfId="0" applyFont="1" applyFill="1" applyAlignment="1">
      <alignment horizontal="center" vertical="justify"/>
    </xf>
    <xf numFmtId="0" fontId="33" fillId="0" borderId="0" xfId="0" applyFont="1" applyFill="1" applyAlignment="1">
      <alignment horizontal="center" vertical="top" wrapText="1"/>
    </xf>
    <xf numFmtId="0" fontId="0" fillId="0" borderId="0" xfId="0" applyFill="1" applyAlignment="1">
      <alignment horizontal="center" vertical="top" wrapText="1"/>
    </xf>
    <xf numFmtId="0" fontId="0" fillId="0" borderId="0" xfId="0" applyFont="1" applyFill="1" applyBorder="1" applyAlignment="1">
      <alignment horizontal="center" vertical="justify"/>
    </xf>
    <xf numFmtId="0" fontId="4" fillId="3" borderId="9" xfId="3" applyAlignment="1" applyProtection="1">
      <alignment horizontal="center"/>
    </xf>
    <xf numFmtId="0" fontId="2" fillId="0" borderId="29" xfId="0" applyFont="1" applyFill="1" applyBorder="1" applyAlignment="1">
      <alignment horizontal="left" vertical="top" wrapText="1"/>
    </xf>
    <xf numFmtId="170" fontId="44" fillId="3" borderId="8" xfId="9" applyNumberFormat="1" applyFont="1" applyBorder="1" applyAlignment="1">
      <alignment horizontal="center" vertical="center"/>
    </xf>
    <xf numFmtId="0" fontId="2" fillId="19" borderId="6" xfId="0" applyFont="1" applyFill="1" applyBorder="1" applyAlignment="1">
      <alignment horizontal="left" vertical="top" wrapText="1"/>
    </xf>
    <xf numFmtId="0" fontId="11" fillId="19" borderId="28" xfId="0" applyFont="1" applyFill="1" applyBorder="1" applyAlignment="1">
      <alignment horizontal="left" vertical="top"/>
    </xf>
    <xf numFmtId="170" fontId="7" fillId="19" borderId="2" xfId="0" applyNumberFormat="1" applyFont="1" applyFill="1" applyBorder="1" applyAlignment="1">
      <alignment horizontal="center" vertical="center"/>
    </xf>
    <xf numFmtId="170" fontId="7" fillId="19" borderId="8" xfId="0" applyNumberFormat="1" applyFont="1" applyFill="1" applyBorder="1" applyAlignment="1">
      <alignment horizontal="center" vertical="center"/>
    </xf>
    <xf numFmtId="0" fontId="2" fillId="19" borderId="32" xfId="0" applyFont="1" applyFill="1" applyBorder="1" applyAlignment="1">
      <alignment horizontal="left" vertical="top" wrapText="1"/>
    </xf>
    <xf numFmtId="170" fontId="43" fillId="19" borderId="15" xfId="0" applyNumberFormat="1" applyFont="1" applyFill="1" applyBorder="1" applyAlignment="1">
      <alignment horizontal="right" vertical="top"/>
    </xf>
    <xf numFmtId="170" fontId="44" fillId="19" borderId="2" xfId="9" applyNumberFormat="1" applyFont="1" applyFill="1" applyBorder="1" applyAlignment="1">
      <alignment horizontal="center" vertical="center"/>
    </xf>
    <xf numFmtId="170" fontId="44" fillId="19" borderId="89" xfId="9" applyNumberFormat="1" applyFont="1" applyFill="1" applyBorder="1" applyAlignment="1">
      <alignment horizontal="center" vertical="center"/>
    </xf>
    <xf numFmtId="170" fontId="44" fillId="19" borderId="33" xfId="9" applyNumberFormat="1" applyFont="1" applyFill="1" applyAlignment="1">
      <alignment horizontal="center" vertical="center"/>
    </xf>
    <xf numFmtId="170" fontId="35" fillId="19" borderId="2" xfId="9" applyNumberFormat="1" applyFill="1" applyBorder="1" applyAlignment="1">
      <alignment horizontal="center" vertical="center"/>
    </xf>
    <xf numFmtId="170" fontId="35" fillId="19" borderId="89" xfId="9" applyNumberFormat="1" applyFill="1" applyBorder="1" applyAlignment="1">
      <alignment horizontal="center" vertical="center"/>
    </xf>
    <xf numFmtId="170" fontId="35" fillId="19" borderId="33" xfId="9" applyNumberFormat="1" applyFill="1" applyAlignment="1">
      <alignment horizontal="center" vertical="center"/>
    </xf>
    <xf numFmtId="0" fontId="2" fillId="19" borderId="29" xfId="0" applyFont="1" applyFill="1" applyBorder="1" applyAlignment="1">
      <alignment horizontal="left" vertical="top" wrapText="1"/>
    </xf>
    <xf numFmtId="170" fontId="43" fillId="19" borderId="31" xfId="0" applyNumberFormat="1" applyFont="1" applyFill="1" applyBorder="1" applyAlignment="1">
      <alignment horizontal="right" vertical="top"/>
    </xf>
    <xf numFmtId="0" fontId="0" fillId="6" borderId="0" xfId="0" applyFill="1"/>
    <xf numFmtId="0" fontId="9" fillId="0" borderId="13" xfId="0" applyFont="1" applyBorder="1" applyAlignment="1">
      <alignment horizontal="left"/>
    </xf>
    <xf numFmtId="165" fontId="22" fillId="3" borderId="99" xfId="3" applyNumberFormat="1" applyFont="1" applyBorder="1" applyAlignment="1">
      <alignment horizontal="center"/>
    </xf>
    <xf numFmtId="10" fontId="22" fillId="3" borderId="20" xfId="3" applyNumberFormat="1" applyFont="1" applyBorder="1" applyAlignment="1">
      <alignment horizontal="center"/>
    </xf>
    <xf numFmtId="10" fontId="22" fillId="3" borderId="53" xfId="3" applyNumberFormat="1" applyFont="1" applyBorder="1" applyAlignment="1">
      <alignment horizontal="center"/>
    </xf>
    <xf numFmtId="10" fontId="20" fillId="6" borderId="43" xfId="2" applyNumberFormat="1" applyFont="1" applyFill="1" applyBorder="1" applyAlignment="1">
      <alignment horizontal="center"/>
    </xf>
    <xf numFmtId="0" fontId="2" fillId="0" borderId="4" xfId="0" applyFont="1" applyBorder="1"/>
    <xf numFmtId="0" fontId="22" fillId="3" borderId="21" xfId="3" applyFont="1" applyBorder="1" applyAlignment="1">
      <alignment horizontal="center"/>
    </xf>
    <xf numFmtId="10" fontId="22" fillId="3" borderId="79" xfId="3" applyNumberFormat="1" applyFont="1" applyBorder="1" applyAlignment="1">
      <alignment horizontal="center"/>
    </xf>
    <xf numFmtId="0" fontId="0" fillId="0" borderId="0" xfId="0" applyFill="1" applyAlignment="1">
      <alignment horizontal="left" vertical="top"/>
    </xf>
    <xf numFmtId="0" fontId="2" fillId="0" borderId="5" xfId="0" applyFont="1" applyFill="1" applyBorder="1" applyAlignment="1">
      <alignment horizontal="left" vertical="top" wrapText="1"/>
    </xf>
    <xf numFmtId="165" fontId="22" fillId="3" borderId="100" xfId="3" applyNumberFormat="1" applyFont="1" applyBorder="1" applyAlignment="1">
      <alignment horizontal="center"/>
    </xf>
    <xf numFmtId="0" fontId="8" fillId="0" borderId="8" xfId="0" applyFont="1" applyFill="1" applyBorder="1" applyAlignment="1">
      <alignment horizontal="center"/>
    </xf>
    <xf numFmtId="0" fontId="21" fillId="0" borderId="2" xfId="0" applyFont="1" applyBorder="1"/>
    <xf numFmtId="0" fontId="21" fillId="0" borderId="2" xfId="0" applyFont="1" applyBorder="1" applyAlignment="1">
      <alignment horizontal="centerContinuous"/>
    </xf>
    <xf numFmtId="0" fontId="22" fillId="3" borderId="4" xfId="3" applyFont="1" applyBorder="1" applyAlignment="1">
      <alignment horizontal="center"/>
    </xf>
    <xf numFmtId="0" fontId="8" fillId="5" borderId="101" xfId="6" applyFont="1" applyBorder="1"/>
    <xf numFmtId="10" fontId="22" fillId="3" borderId="19" xfId="3" applyNumberFormat="1" applyFont="1" applyBorder="1" applyAlignment="1">
      <alignment horizontal="center"/>
    </xf>
    <xf numFmtId="10" fontId="20" fillId="2" borderId="31" xfId="2" applyNumberFormat="1" applyFont="1" applyBorder="1" applyAlignment="1" applyProtection="1">
      <alignment horizontal="center"/>
      <protection locked="0"/>
    </xf>
    <xf numFmtId="10" fontId="20" fillId="2" borderId="48" xfId="2" applyNumberFormat="1" applyFont="1" applyBorder="1" applyAlignment="1" applyProtection="1">
      <alignment horizontal="center"/>
      <protection locked="0"/>
    </xf>
    <xf numFmtId="10" fontId="20" fillId="2" borderId="47" xfId="2" applyNumberFormat="1" applyFont="1" applyBorder="1" applyAlignment="1" applyProtection="1">
      <alignment horizontal="center"/>
      <protection locked="0"/>
    </xf>
    <xf numFmtId="170" fontId="43" fillId="19" borderId="15" xfId="0" applyNumberFormat="1" applyFont="1" applyFill="1" applyBorder="1" applyAlignment="1">
      <alignment horizontal="left" vertical="top"/>
    </xf>
    <xf numFmtId="170" fontId="43" fillId="19" borderId="31" xfId="0" applyNumberFormat="1" applyFont="1" applyFill="1" applyBorder="1" applyAlignment="1">
      <alignment horizontal="left" vertical="top"/>
    </xf>
    <xf numFmtId="0" fontId="0" fillId="10" borderId="8" xfId="0" applyFill="1" applyBorder="1"/>
    <xf numFmtId="0" fontId="0" fillId="19" borderId="0" xfId="0" applyFill="1"/>
    <xf numFmtId="0" fontId="11" fillId="13" borderId="2" xfId="0" applyFont="1" applyFill="1" applyBorder="1" applyAlignment="1">
      <alignment horizontal="left" vertical="top"/>
    </xf>
    <xf numFmtId="0" fontId="11" fillId="13" borderId="8" xfId="0" applyFont="1" applyFill="1" applyBorder="1" applyAlignment="1">
      <alignment horizontal="left" vertical="top"/>
    </xf>
    <xf numFmtId="0" fontId="0" fillId="0" borderId="0" xfId="0" applyFill="1" applyAlignment="1">
      <alignment horizontal="center" vertical="top"/>
    </xf>
    <xf numFmtId="170" fontId="48" fillId="10" borderId="2" xfId="0" applyNumberFormat="1" applyFont="1" applyFill="1" applyBorder="1" applyAlignment="1">
      <alignment horizontal="right"/>
    </xf>
    <xf numFmtId="170" fontId="0" fillId="0" borderId="2" xfId="0" applyNumberFormat="1" applyFill="1" applyBorder="1" applyAlignment="1">
      <alignment horizontal="center" vertical="top"/>
    </xf>
    <xf numFmtId="0" fontId="0" fillId="0" borderId="2" xfId="0" applyFill="1" applyBorder="1"/>
    <xf numFmtId="170" fontId="0" fillId="0" borderId="3" xfId="0" applyNumberFormat="1" applyFill="1" applyBorder="1" applyAlignment="1">
      <alignment vertical="center"/>
    </xf>
    <xf numFmtId="0" fontId="0" fillId="0" borderId="1" xfId="0" applyBorder="1" applyAlignment="1">
      <alignment vertical="center"/>
    </xf>
    <xf numFmtId="0" fontId="0" fillId="12" borderId="0" xfId="0" applyFill="1" applyBorder="1"/>
    <xf numFmtId="170" fontId="0" fillId="12" borderId="0" xfId="0" applyNumberFormat="1" applyFill="1" applyBorder="1" applyAlignment="1">
      <alignment horizontal="center" vertical="top"/>
    </xf>
    <xf numFmtId="0" fontId="0" fillId="6" borderId="2" xfId="0" applyFill="1" applyBorder="1" applyAlignment="1">
      <alignment horizontal="center" vertical="top"/>
    </xf>
    <xf numFmtId="170" fontId="0" fillId="19" borderId="2" xfId="0" applyNumberFormat="1" applyFill="1" applyBorder="1" applyAlignment="1">
      <alignment horizontal="center" vertical="top"/>
    </xf>
    <xf numFmtId="0" fontId="26" fillId="19" borderId="2" xfId="0" applyFont="1" applyFill="1" applyBorder="1" applyAlignment="1">
      <alignment horizontal="center" vertical="top"/>
    </xf>
    <xf numFmtId="170" fontId="26" fillId="19" borderId="2" xfId="0" applyNumberFormat="1" applyFont="1" applyFill="1" applyBorder="1" applyAlignment="1">
      <alignment horizontal="center" vertical="top"/>
    </xf>
    <xf numFmtId="170" fontId="7" fillId="19" borderId="2" xfId="0" applyNumberFormat="1" applyFont="1" applyFill="1" applyBorder="1" applyAlignment="1">
      <alignment horizontal="center" vertical="top"/>
    </xf>
    <xf numFmtId="170" fontId="49" fillId="19" borderId="2" xfId="0" applyNumberFormat="1" applyFont="1" applyFill="1" applyBorder="1" applyAlignment="1">
      <alignment horizontal="center" vertical="top"/>
    </xf>
    <xf numFmtId="170" fontId="7" fillId="0" borderId="2" xfId="0" applyNumberFormat="1" applyFont="1" applyFill="1" applyBorder="1" applyAlignment="1">
      <alignment horizontal="center" vertical="top"/>
    </xf>
    <xf numFmtId="0" fontId="0" fillId="6" borderId="0" xfId="0" applyFill="1" applyAlignment="1">
      <alignment horizontal="center"/>
    </xf>
    <xf numFmtId="0" fontId="0" fillId="6" borderId="0" xfId="0" applyFill="1" applyAlignment="1">
      <alignment vertical="center"/>
    </xf>
    <xf numFmtId="0" fontId="9" fillId="6" borderId="0" xfId="0" applyFont="1" applyFill="1" applyAlignment="1">
      <alignment wrapText="1"/>
    </xf>
    <xf numFmtId="165" fontId="9" fillId="6" borderId="0" xfId="0" applyNumberFormat="1" applyFont="1" applyFill="1"/>
    <xf numFmtId="165" fontId="9" fillId="0" borderId="6" xfId="0" applyNumberFormat="1" applyFont="1" applyFill="1" applyBorder="1"/>
    <xf numFmtId="165" fontId="9" fillId="0" borderId="29" xfId="0" applyNumberFormat="1" applyFont="1" applyFill="1" applyBorder="1"/>
    <xf numFmtId="0" fontId="9" fillId="10" borderId="2" xfId="0" applyFont="1" applyFill="1" applyBorder="1"/>
    <xf numFmtId="177" fontId="9" fillId="10" borderId="2" xfId="0" applyNumberFormat="1" applyFont="1" applyFill="1" applyBorder="1"/>
    <xf numFmtId="0" fontId="9" fillId="10" borderId="14" xfId="0" applyFont="1" applyFill="1" applyBorder="1"/>
    <xf numFmtId="177" fontId="22" fillId="3" borderId="19" xfId="3" applyNumberFormat="1" applyFont="1" applyBorder="1" applyAlignment="1">
      <alignment horizontal="center"/>
    </xf>
    <xf numFmtId="180" fontId="9" fillId="10" borderId="2" xfId="0" applyNumberFormat="1" applyFont="1" applyFill="1" applyBorder="1"/>
    <xf numFmtId="9" fontId="22" fillId="3" borderId="2" xfId="3" applyNumberFormat="1" applyFont="1" applyBorder="1" applyAlignment="1" applyProtection="1">
      <alignment horizontal="center"/>
    </xf>
    <xf numFmtId="9" fontId="22" fillId="3" borderId="17" xfId="3" applyNumberFormat="1" applyFont="1" applyBorder="1" applyAlignment="1" applyProtection="1">
      <alignment horizontal="center"/>
    </xf>
    <xf numFmtId="9" fontId="22" fillId="3" borderId="18" xfId="3" applyNumberFormat="1" applyFont="1" applyBorder="1" applyAlignment="1" applyProtection="1">
      <alignment horizontal="center"/>
    </xf>
    <xf numFmtId="165" fontId="4" fillId="3" borderId="9" xfId="3" applyNumberFormat="1" applyAlignment="1" applyProtection="1">
      <alignment horizontal="center"/>
    </xf>
    <xf numFmtId="165" fontId="22" fillId="3" borderId="19" xfId="3" applyNumberFormat="1" applyFont="1" applyBorder="1" applyAlignment="1" applyProtection="1">
      <alignment horizontal="center"/>
    </xf>
    <xf numFmtId="165" fontId="20" fillId="2" borderId="9" xfId="2" applyNumberFormat="1" applyFont="1" applyBorder="1" applyAlignment="1" applyProtection="1">
      <alignment horizontal="center"/>
    </xf>
    <xf numFmtId="165" fontId="23" fillId="3" borderId="9" xfId="3" applyNumberFormat="1" applyFont="1" applyAlignment="1" applyProtection="1">
      <alignment horizontal="center"/>
    </xf>
    <xf numFmtId="0" fontId="0" fillId="11" borderId="0" xfId="0" applyFill="1"/>
    <xf numFmtId="177" fontId="22" fillId="3" borderId="2" xfId="3" applyNumberFormat="1" applyFont="1" applyBorder="1" applyAlignment="1">
      <alignment horizontal="left"/>
    </xf>
    <xf numFmtId="165" fontId="23" fillId="3" borderId="10" xfId="4" applyNumberFormat="1" applyFont="1" applyFill="1" applyAlignment="1" applyProtection="1">
      <alignment horizontal="center"/>
    </xf>
    <xf numFmtId="9" fontId="20" fillId="2" borderId="22" xfId="2" applyNumberFormat="1" applyFont="1" applyBorder="1" applyAlignment="1" applyProtection="1">
      <alignment horizontal="center"/>
      <protection locked="0"/>
    </xf>
    <xf numFmtId="4" fontId="20" fillId="2" borderId="58" xfId="2" applyNumberFormat="1" applyFont="1" applyBorder="1" applyAlignment="1" applyProtection="1">
      <alignment horizontal="center"/>
      <protection locked="0"/>
    </xf>
    <xf numFmtId="4" fontId="20" fillId="2" borderId="52" xfId="2" applyNumberFormat="1" applyFont="1" applyBorder="1" applyAlignment="1" applyProtection="1">
      <alignment horizontal="center"/>
      <protection locked="0"/>
    </xf>
    <xf numFmtId="4" fontId="20" fillId="2" borderId="45" xfId="2" applyNumberFormat="1" applyFont="1" applyBorder="1" applyAlignment="1" applyProtection="1">
      <alignment horizontal="center"/>
      <protection locked="0"/>
    </xf>
    <xf numFmtId="4" fontId="22" fillId="3" borderId="26" xfId="3" applyNumberFormat="1" applyFont="1" applyBorder="1" applyAlignment="1">
      <alignment horizontal="center"/>
    </xf>
    <xf numFmtId="3" fontId="20" fillId="2" borderId="52" xfId="2" applyNumberFormat="1" applyFont="1" applyBorder="1" applyAlignment="1" applyProtection="1">
      <alignment horizontal="center"/>
      <protection locked="0"/>
    </xf>
    <xf numFmtId="178" fontId="22" fillId="3" borderId="40" xfId="3" applyNumberFormat="1" applyFont="1" applyBorder="1" applyAlignment="1">
      <alignment horizontal="center"/>
    </xf>
    <xf numFmtId="0" fontId="22" fillId="0" borderId="28" xfId="4" applyFont="1" applyBorder="1" applyAlignment="1">
      <alignment horizontal="center" vertical="center"/>
    </xf>
    <xf numFmtId="0" fontId="22" fillId="0" borderId="103" xfId="4" applyFont="1" applyBorder="1" applyAlignment="1">
      <alignment horizontal="center" vertical="center"/>
    </xf>
    <xf numFmtId="0" fontId="8" fillId="5" borderId="104" xfId="6" applyFont="1" applyBorder="1"/>
    <xf numFmtId="0" fontId="8" fillId="6" borderId="7" xfId="6" applyFont="1" applyFill="1" applyBorder="1" applyAlignment="1">
      <alignment horizontal="centerContinuous"/>
    </xf>
    <xf numFmtId="0" fontId="8" fillId="6" borderId="102" xfId="6" applyFont="1" applyFill="1" applyBorder="1" applyAlignment="1">
      <alignment horizontal="centerContinuous"/>
    </xf>
    <xf numFmtId="0" fontId="8" fillId="6" borderId="3" xfId="6" applyFont="1" applyFill="1" applyBorder="1"/>
    <xf numFmtId="0" fontId="8" fillId="6" borderId="1" xfId="0" applyFont="1" applyFill="1" applyBorder="1"/>
    <xf numFmtId="0" fontId="2" fillId="0" borderId="0" xfId="0" applyFont="1" applyFill="1" applyBorder="1" applyAlignment="1">
      <alignment vertical="justify"/>
    </xf>
    <xf numFmtId="0" fontId="2" fillId="0" borderId="0" xfId="0" applyFont="1" applyAlignment="1"/>
    <xf numFmtId="0" fontId="0" fillId="0" borderId="0" xfId="0" applyAlignment="1"/>
    <xf numFmtId="0" fontId="0" fillId="0" borderId="27" xfId="0" applyFont="1" applyFill="1" applyBorder="1" applyAlignment="1">
      <alignment horizontal="left" vertical="justify"/>
    </xf>
    <xf numFmtId="0" fontId="34" fillId="0" borderId="0" xfId="0" applyFont="1" applyFill="1" applyBorder="1" applyAlignment="1">
      <alignment horizontal="center" vertical="justify" wrapText="1"/>
    </xf>
    <xf numFmtId="0" fontId="28" fillId="12" borderId="2" xfId="8" applyFill="1" applyBorder="1" applyAlignment="1">
      <alignment horizontal="left" vertical="center" wrapText="1"/>
    </xf>
    <xf numFmtId="0" fontId="0" fillId="10" borderId="0" xfId="0" applyFont="1" applyFill="1" applyAlignment="1">
      <alignment vertical="justify" wrapText="1"/>
    </xf>
    <xf numFmtId="0" fontId="0" fillId="10" borderId="0" xfId="0" applyFill="1" applyAlignment="1">
      <alignment vertical="justify" wrapText="1"/>
    </xf>
    <xf numFmtId="0" fontId="0" fillId="0" borderId="2" xfId="0" applyFont="1" applyFill="1" applyBorder="1" applyAlignment="1">
      <alignment horizontal="left" vertical="center" wrapText="1"/>
    </xf>
    <xf numFmtId="0" fontId="40"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0" fillId="13" borderId="0" xfId="0" applyFill="1" applyAlignment="1">
      <alignment horizontal="left" vertical="top"/>
    </xf>
    <xf numFmtId="0" fontId="0" fillId="0" borderId="0" xfId="0" applyFill="1" applyAlignment="1">
      <alignment horizontal="left" vertical="center"/>
    </xf>
    <xf numFmtId="0" fontId="0" fillId="19" borderId="0" xfId="0" applyFill="1" applyAlignment="1">
      <alignment horizontal="left" vertical="top"/>
    </xf>
    <xf numFmtId="0" fontId="33" fillId="0" borderId="0" xfId="0" applyFont="1" applyFill="1" applyAlignment="1">
      <alignment horizontal="left" vertical="top" wrapText="1"/>
    </xf>
    <xf numFmtId="0" fontId="39" fillId="0" borderId="0" xfId="0" applyFont="1" applyFill="1" applyAlignment="1">
      <alignment horizontal="left" vertical="top" wrapText="1"/>
    </xf>
    <xf numFmtId="0" fontId="0" fillId="11" borderId="0" xfId="0" applyFill="1" applyAlignment="1">
      <alignment horizontal="left"/>
    </xf>
    <xf numFmtId="0" fontId="0" fillId="0" borderId="0" xfId="0" applyFill="1" applyAlignment="1">
      <alignment horizontal="left"/>
    </xf>
    <xf numFmtId="0" fontId="0" fillId="12" borderId="0" xfId="0" applyFill="1" applyAlignment="1">
      <alignment horizontal="left" vertical="top"/>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28" fillId="13" borderId="2" xfId="8" applyFill="1" applyBorder="1" applyAlignment="1">
      <alignment horizontal="left" vertical="center" wrapText="1"/>
    </xf>
    <xf numFmtId="0" fontId="3" fillId="2" borderId="9" xfId="2" applyAlignment="1">
      <alignment horizontal="left" vertical="top"/>
    </xf>
    <xf numFmtId="0" fontId="4" fillId="3" borderId="9" xfId="3" applyAlignment="1">
      <alignment horizontal="left" vertical="top"/>
    </xf>
    <xf numFmtId="0" fontId="6" fillId="4" borderId="11" xfId="5" applyAlignment="1">
      <alignment horizontal="left" vertical="top"/>
    </xf>
    <xf numFmtId="0" fontId="28" fillId="19" borderId="2" xfId="8"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2" fillId="0" borderId="0" xfId="0" applyFont="1" applyFill="1" applyBorder="1" applyAlignment="1">
      <alignment horizontal="left" vertical="justify"/>
    </xf>
    <xf numFmtId="0" fontId="0"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vertical="top"/>
    </xf>
    <xf numFmtId="0" fontId="19" fillId="5" borderId="12" xfId="6" applyFont="1" applyAlignment="1">
      <alignment horizontal="left" vertical="top"/>
    </xf>
    <xf numFmtId="0" fontId="5" fillId="0" borderId="10" xfId="4" applyAlignment="1">
      <alignment horizontal="left" vertical="top"/>
    </xf>
    <xf numFmtId="0" fontId="35" fillId="3" borderId="33" xfId="9" applyAlignment="1">
      <alignment horizontal="left" vertical="top"/>
    </xf>
    <xf numFmtId="0" fontId="8" fillId="14" borderId="2" xfId="0" applyFont="1" applyFill="1" applyBorder="1" applyAlignment="1">
      <alignment horizontal="center"/>
    </xf>
    <xf numFmtId="0" fontId="2" fillId="14" borderId="2" xfId="0" applyFont="1" applyFill="1" applyBorder="1" applyAlignment="1">
      <alignment horizontal="left"/>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8" fillId="13" borderId="32" xfId="0" applyFont="1" applyFill="1" applyBorder="1" applyAlignment="1">
      <alignment horizontal="left"/>
    </xf>
    <xf numFmtId="0" fontId="8" fillId="13" borderId="67" xfId="0" applyFont="1" applyFill="1" applyBorder="1" applyAlignment="1">
      <alignment horizontal="left"/>
    </xf>
    <xf numFmtId="0" fontId="8" fillId="13" borderId="68" xfId="0" applyFont="1" applyFill="1" applyBorder="1" applyAlignment="1">
      <alignment horizontal="left"/>
    </xf>
    <xf numFmtId="0" fontId="8" fillId="13" borderId="0" xfId="0" applyFont="1" applyFill="1" applyBorder="1" applyAlignment="1">
      <alignment horizontal="left"/>
    </xf>
    <xf numFmtId="0" fontId="8" fillId="13" borderId="15" xfId="0" applyFont="1" applyFill="1" applyBorder="1" applyAlignment="1">
      <alignment horizontal="left"/>
    </xf>
    <xf numFmtId="165" fontId="8" fillId="0" borderId="3" xfId="0" applyNumberFormat="1" applyFont="1" applyBorder="1" applyAlignment="1">
      <alignment horizontal="center" vertical="center"/>
    </xf>
    <xf numFmtId="165" fontId="8" fillId="0" borderId="1" xfId="0" applyNumberFormat="1" applyFont="1" applyBorder="1" applyAlignment="1">
      <alignment horizontal="center" vertical="center"/>
    </xf>
    <xf numFmtId="165" fontId="8" fillId="0" borderId="5" xfId="0" applyNumberFormat="1" applyFont="1" applyBorder="1" applyAlignment="1">
      <alignment horizontal="center" vertical="center"/>
    </xf>
    <xf numFmtId="165" fontId="8" fillId="0" borderId="8" xfId="0" applyNumberFormat="1" applyFont="1" applyBorder="1" applyAlignment="1">
      <alignment horizontal="center" vertical="center"/>
    </xf>
    <xf numFmtId="0" fontId="9" fillId="0" borderId="3" xfId="0" applyFont="1" applyBorder="1" applyAlignment="1">
      <alignment horizontal="center"/>
    </xf>
    <xf numFmtId="0" fontId="9" fillId="0" borderId="1" xfId="0" applyFont="1" applyBorder="1" applyAlignment="1">
      <alignment horizontal="center"/>
    </xf>
    <xf numFmtId="165" fontId="8" fillId="0" borderId="5" xfId="0" applyNumberFormat="1" applyFont="1" applyBorder="1" applyAlignment="1">
      <alignment horizontal="left" vertical="top"/>
    </xf>
    <xf numFmtId="165" fontId="8" fillId="0" borderId="7" xfId="0" applyNumberFormat="1" applyFont="1" applyBorder="1" applyAlignment="1">
      <alignment horizontal="left" vertical="top"/>
    </xf>
    <xf numFmtId="165" fontId="8" fillId="0" borderId="8" xfId="0" applyNumberFormat="1" applyFont="1" applyBorder="1" applyAlignment="1">
      <alignment horizontal="left" vertical="top"/>
    </xf>
    <xf numFmtId="0" fontId="8" fillId="0" borderId="85" xfId="0" applyFont="1" applyBorder="1" applyAlignment="1">
      <alignment horizontal="left" vertical="top"/>
    </xf>
    <xf numFmtId="0" fontId="8" fillId="0" borderId="72"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165" fontId="8" fillId="0" borderId="84" xfId="0" applyNumberFormat="1" applyFont="1" applyBorder="1" applyAlignment="1">
      <alignment horizontal="left" vertical="top"/>
    </xf>
    <xf numFmtId="165" fontId="8" fillId="0" borderId="14" xfId="0" applyNumberFormat="1" applyFont="1" applyBorder="1" applyAlignment="1">
      <alignment horizontal="left" vertical="top"/>
    </xf>
    <xf numFmtId="165" fontId="8" fillId="0" borderId="71" xfId="0" applyNumberFormat="1" applyFont="1" applyBorder="1" applyAlignment="1">
      <alignment horizontal="left" vertical="top"/>
    </xf>
    <xf numFmtId="165" fontId="9" fillId="0" borderId="5" xfId="0" applyNumberFormat="1" applyFont="1" applyBorder="1" applyAlignment="1">
      <alignment horizontal="left" vertical="top"/>
    </xf>
    <xf numFmtId="165" fontId="9" fillId="0" borderId="7" xfId="0" applyNumberFormat="1" applyFont="1" applyBorder="1" applyAlignment="1">
      <alignment horizontal="left" vertical="top"/>
    </xf>
    <xf numFmtId="165" fontId="9" fillId="0" borderId="8" xfId="0" applyNumberFormat="1" applyFont="1" applyBorder="1" applyAlignment="1">
      <alignment horizontal="left" vertical="top"/>
    </xf>
    <xf numFmtId="165" fontId="9" fillId="0" borderId="6" xfId="0" applyNumberFormat="1" applyFont="1" applyBorder="1" applyAlignment="1">
      <alignment horizontal="left" vertical="top"/>
    </xf>
    <xf numFmtId="165" fontId="9" fillId="0" borderId="27" xfId="0" applyNumberFormat="1" applyFont="1" applyBorder="1" applyAlignment="1">
      <alignment horizontal="left" vertical="top"/>
    </xf>
    <xf numFmtId="165" fontId="9" fillId="0" borderId="28" xfId="0" applyNumberFormat="1" applyFont="1" applyBorder="1" applyAlignment="1">
      <alignment horizontal="left" vertical="top"/>
    </xf>
    <xf numFmtId="0" fontId="8" fillId="0" borderId="2" xfId="0" applyFont="1" applyBorder="1" applyAlignment="1">
      <alignment horizontal="left" vertical="top"/>
    </xf>
    <xf numFmtId="0" fontId="8" fillId="5" borderId="77" xfId="6" applyFont="1" applyBorder="1" applyAlignment="1">
      <alignment horizontal="left" vertical="top"/>
    </xf>
    <xf numFmtId="0" fontId="8" fillId="5" borderId="67" xfId="6" applyFont="1" applyBorder="1" applyAlignment="1">
      <alignment horizontal="left" vertical="top"/>
    </xf>
    <xf numFmtId="0" fontId="8" fillId="5" borderId="78" xfId="6" applyFont="1" applyBorder="1" applyAlignment="1">
      <alignment horizontal="left" vertical="top"/>
    </xf>
    <xf numFmtId="0" fontId="8" fillId="0" borderId="5"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8" fillId="0" borderId="3" xfId="0" applyFont="1" applyBorder="1" applyAlignment="1">
      <alignment horizontal="center" vertical="center"/>
    </xf>
    <xf numFmtId="0" fontId="9" fillId="0" borderId="1" xfId="0" applyFont="1" applyBorder="1" applyAlignment="1">
      <alignment horizontal="center" vertical="center"/>
    </xf>
    <xf numFmtId="165" fontId="9" fillId="0" borderId="2" xfId="0" applyNumberFormat="1" applyFont="1" applyBorder="1" applyAlignment="1">
      <alignment horizontal="left" vertical="top"/>
    </xf>
    <xf numFmtId="165" fontId="8" fillId="0" borderId="2" xfId="0" applyNumberFormat="1" applyFont="1" applyBorder="1" applyAlignment="1">
      <alignment horizontal="left" vertical="top"/>
    </xf>
    <xf numFmtId="0" fontId="9" fillId="0" borderId="6" xfId="0" applyFont="1" applyBorder="1" applyAlignment="1">
      <alignment horizontal="left" vertical="top"/>
    </xf>
    <xf numFmtId="0" fontId="9" fillId="0" borderId="27" xfId="0" applyFont="1" applyBorder="1" applyAlignment="1">
      <alignment horizontal="left" vertical="top"/>
    </xf>
    <xf numFmtId="0" fontId="9" fillId="0" borderId="28" xfId="0" applyFont="1" applyBorder="1" applyAlignment="1">
      <alignment horizontal="left" vertical="top"/>
    </xf>
    <xf numFmtId="0" fontId="9" fillId="0" borderId="31" xfId="0" applyFont="1" applyBorder="1" applyAlignment="1">
      <alignment horizontal="left" vertical="top"/>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165" fontId="8" fillId="14" borderId="5" xfId="0" applyNumberFormat="1" applyFont="1" applyFill="1" applyBorder="1" applyAlignment="1">
      <alignment horizontal="left"/>
    </xf>
    <xf numFmtId="165" fontId="8" fillId="14" borderId="8" xfId="0" applyNumberFormat="1" applyFont="1" applyFill="1" applyBorder="1" applyAlignment="1">
      <alignment horizontal="left"/>
    </xf>
    <xf numFmtId="165" fontId="9" fillId="0" borderId="0" xfId="0" applyNumberFormat="1" applyFont="1" applyFill="1" applyBorder="1" applyAlignment="1">
      <alignment horizontal="left" vertical="top"/>
    </xf>
    <xf numFmtId="172" fontId="8" fillId="0" borderId="27" xfId="0" applyNumberFormat="1" applyFont="1" applyFill="1" applyBorder="1" applyAlignment="1">
      <alignment horizontal="center"/>
    </xf>
    <xf numFmtId="0" fontId="8" fillId="0" borderId="27" xfId="0" applyFont="1" applyFill="1" applyBorder="1" applyAlignment="1">
      <alignment horizontal="center"/>
    </xf>
    <xf numFmtId="0" fontId="8" fillId="14" borderId="90" xfId="6" applyFont="1" applyFill="1" applyBorder="1" applyAlignment="1">
      <alignment horizontal="left" vertical="top"/>
    </xf>
    <xf numFmtId="0" fontId="8" fillId="14" borderId="83" xfId="6" applyFont="1" applyFill="1" applyBorder="1" applyAlignment="1">
      <alignment horizontal="left" vertical="top"/>
    </xf>
    <xf numFmtId="0" fontId="2" fillId="0" borderId="87" xfId="0" applyFont="1" applyFill="1" applyBorder="1" applyAlignment="1">
      <alignment horizontal="left" vertical="top" wrapText="1"/>
    </xf>
    <xf numFmtId="0" fontId="2" fillId="0" borderId="88"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13" borderId="5" xfId="0" applyFont="1" applyFill="1" applyBorder="1" applyAlignment="1">
      <alignment horizontal="left" vertical="top"/>
    </xf>
    <xf numFmtId="0" fontId="2" fillId="13" borderId="8" xfId="0" applyFont="1" applyFill="1" applyBorder="1" applyAlignment="1">
      <alignment horizontal="left" vertical="top"/>
    </xf>
    <xf numFmtId="0" fontId="2" fillId="13" borderId="6" xfId="0" applyFont="1" applyFill="1" applyBorder="1" applyAlignment="1">
      <alignment horizontal="left" vertical="top"/>
    </xf>
    <xf numFmtId="0" fontId="2" fillId="13" borderId="28" xfId="0" applyFont="1" applyFill="1" applyBorder="1" applyAlignment="1">
      <alignment horizontal="left" vertical="top"/>
    </xf>
    <xf numFmtId="0" fontId="2" fillId="13" borderId="29" xfId="0" applyFont="1" applyFill="1" applyBorder="1" applyAlignment="1">
      <alignment horizontal="left" vertical="top"/>
    </xf>
    <xf numFmtId="0" fontId="2" fillId="13" borderId="31"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9" xfId="0" applyFont="1" applyFill="1" applyBorder="1" applyAlignment="1">
      <alignment horizontal="left" vertical="top"/>
    </xf>
    <xf numFmtId="0" fontId="2" fillId="0" borderId="30"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center"/>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170" fontId="44" fillId="3" borderId="5" xfId="9" applyNumberFormat="1"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2" fillId="13" borderId="5" xfId="0" applyFont="1" applyFill="1" applyBorder="1" applyAlignment="1">
      <alignment horizontal="left" vertical="top" wrapText="1"/>
    </xf>
    <xf numFmtId="0" fontId="2" fillId="13" borderId="8" xfId="0" applyFont="1" applyFill="1" applyBorder="1" applyAlignment="1">
      <alignment horizontal="left" vertical="top" wrapText="1"/>
    </xf>
    <xf numFmtId="0" fontId="9" fillId="0" borderId="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top" wrapText="1"/>
    </xf>
    <xf numFmtId="0" fontId="9" fillId="0" borderId="8" xfId="0" applyFont="1" applyFill="1" applyBorder="1" applyAlignment="1">
      <alignment horizontal="left" vertical="top" wrapText="1"/>
    </xf>
    <xf numFmtId="176" fontId="35" fillId="3" borderId="89" xfId="9" applyNumberFormat="1" applyBorder="1" applyAlignment="1">
      <alignment horizontal="center" vertical="center"/>
    </xf>
    <xf numFmtId="176" fontId="35" fillId="3" borderId="33" xfId="9" applyNumberFormat="1" applyAlignment="1">
      <alignment horizontal="center" vertical="center"/>
    </xf>
    <xf numFmtId="0" fontId="2" fillId="0" borderId="32" xfId="0" applyFont="1" applyFill="1" applyBorder="1" applyAlignment="1">
      <alignment horizontal="left" vertical="top"/>
    </xf>
    <xf numFmtId="0" fontId="2" fillId="0" borderId="0" xfId="0" applyFont="1" applyFill="1" applyBorder="1" applyAlignment="1">
      <alignment horizontal="left" vertical="top"/>
    </xf>
    <xf numFmtId="0" fontId="2" fillId="0" borderId="86" xfId="0" applyFont="1" applyFill="1" applyBorder="1" applyAlignment="1">
      <alignment horizontal="left" vertical="top"/>
    </xf>
    <xf numFmtId="170" fontId="0" fillId="0" borderId="3" xfId="0" applyNumberFormat="1" applyFill="1" applyBorder="1" applyAlignment="1">
      <alignment vertical="center"/>
    </xf>
    <xf numFmtId="0" fontId="0" fillId="0" borderId="1" xfId="0" applyBorder="1" applyAlignment="1">
      <alignment vertical="center"/>
    </xf>
    <xf numFmtId="0" fontId="0" fillId="19" borderId="5" xfId="0" applyFill="1" applyBorder="1" applyAlignment="1">
      <alignment horizontal="left"/>
    </xf>
    <xf numFmtId="0" fontId="0" fillId="0" borderId="8" xfId="0" applyBorder="1" applyAlignment="1">
      <alignment horizontal="left"/>
    </xf>
    <xf numFmtId="0" fontId="2" fillId="14" borderId="75" xfId="0" applyFont="1" applyFill="1" applyBorder="1" applyAlignment="1">
      <alignment horizontal="left" vertical="top"/>
    </xf>
    <xf numFmtId="0" fontId="2" fillId="14" borderId="76" xfId="0" applyFont="1" applyFill="1" applyBorder="1" applyAlignment="1">
      <alignment horizontal="left" vertical="top"/>
    </xf>
    <xf numFmtId="0" fontId="2" fillId="14" borderId="77" xfId="0" applyFont="1" applyFill="1" applyBorder="1" applyAlignment="1">
      <alignment horizontal="left" vertical="top"/>
    </xf>
    <xf numFmtId="0" fontId="2" fillId="14" borderId="78" xfId="0" applyFont="1" applyFill="1" applyBorder="1" applyAlignment="1">
      <alignment horizontal="left" vertical="top"/>
    </xf>
  </cellXfs>
  <cellStyles count="12">
    <cellStyle name="Calculation" xfId="3" builtinId="22"/>
    <cellStyle name="Check Cell" xfId="5" builtinId="23"/>
    <cellStyle name="Comma 2" xfId="10"/>
    <cellStyle name="Good" xfId="7" builtinId="26"/>
    <cellStyle name="Hyperlink" xfId="8" builtinId="8"/>
    <cellStyle name="Input" xfId="2" builtinId="20"/>
    <cellStyle name="Linked Cell" xfId="4" builtinId="24"/>
    <cellStyle name="Normal" xfId="0" builtinId="0"/>
    <cellStyle name="Note" xfId="6" builtinId="10"/>
    <cellStyle name="Output" xfId="9" builtinId="21"/>
    <cellStyle name="Percent" xfId="1" builtinId="5"/>
    <cellStyle name="Standard 2" xfId="11"/>
  </cellStyles>
  <dxfs count="0"/>
  <tableStyles count="0" defaultTableStyle="TableStyleMedium2" defaultPivotStyle="PivotStyleLight16"/>
  <colors>
    <mruColors>
      <color rgb="FF00FF00"/>
      <color rgb="FF4472C4"/>
      <color rgb="FFFFFFCC"/>
      <color rgb="FFC6EFCE"/>
      <color rgb="FF70AD47"/>
      <color rgb="FFFDA9F1"/>
      <color rgb="FFFED6F8"/>
      <color rgb="FFFB1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lt"/>
              </a:defRPr>
            </a:pPr>
            <a:r>
              <a:rPr lang="de-DE" sz="1200">
                <a:latin typeface="+mj-lt"/>
              </a:rPr>
              <a:t>Load profile</a:t>
            </a:r>
          </a:p>
        </c:rich>
      </c:tx>
      <c:overlay val="0"/>
    </c:title>
    <c:autoTitleDeleted val="0"/>
    <c:plotArea>
      <c:layout/>
      <c:areaChart>
        <c:grouping val="stacked"/>
        <c:varyColors val="0"/>
        <c:ser>
          <c:idx val="0"/>
          <c:order val="0"/>
          <c:tx>
            <c:strRef>
              <c:f>'Load Profile'!$D$7</c:f>
              <c:strCache>
                <c:ptCount val="1"/>
                <c:pt idx="0">
                  <c:v>Households</c:v>
                </c:pt>
              </c:strCache>
            </c:strRef>
          </c:tx>
          <c:spPr>
            <a:ln w="25400">
              <a:noFill/>
            </a:ln>
          </c:spPr>
          <c:cat>
            <c:numRef>
              <c:f>'Load Profile'!$C$8:$C$31</c:f>
              <c:numCache>
                <c:formatCode>hh:mm;@</c:formatCode>
                <c:ptCount val="24"/>
                <c:pt idx="0">
                  <c:v>2.0833333333333332E-2</c:v>
                </c:pt>
                <c:pt idx="1">
                  <c:v>6.25E-2</c:v>
                </c:pt>
                <c:pt idx="2">
                  <c:v>0.10416666666666667</c:v>
                </c:pt>
                <c:pt idx="3">
                  <c:v>0.14583333333333334</c:v>
                </c:pt>
                <c:pt idx="4">
                  <c:v>0.1875</c:v>
                </c:pt>
                <c:pt idx="5">
                  <c:v>0.22916666666666666</c:v>
                </c:pt>
                <c:pt idx="6">
                  <c:v>0.27083333333333331</c:v>
                </c:pt>
                <c:pt idx="7">
                  <c:v>0.3125</c:v>
                </c:pt>
                <c:pt idx="8">
                  <c:v>0.35416666666666669</c:v>
                </c:pt>
                <c:pt idx="9">
                  <c:v>0.39583333333333331</c:v>
                </c:pt>
                <c:pt idx="10">
                  <c:v>0.4375</c:v>
                </c:pt>
                <c:pt idx="11">
                  <c:v>0.47916666666666669</c:v>
                </c:pt>
                <c:pt idx="12">
                  <c:v>0.52083333333333337</c:v>
                </c:pt>
                <c:pt idx="13">
                  <c:v>0.5625</c:v>
                </c:pt>
                <c:pt idx="14">
                  <c:v>0.60416666666666663</c:v>
                </c:pt>
                <c:pt idx="15">
                  <c:v>0.64583333333333337</c:v>
                </c:pt>
                <c:pt idx="16">
                  <c:v>0.6875</c:v>
                </c:pt>
                <c:pt idx="17">
                  <c:v>0.72916666666666663</c:v>
                </c:pt>
                <c:pt idx="18">
                  <c:v>0.77083333333333337</c:v>
                </c:pt>
                <c:pt idx="19">
                  <c:v>0.8125</c:v>
                </c:pt>
                <c:pt idx="20">
                  <c:v>0.85416666666666663</c:v>
                </c:pt>
                <c:pt idx="21">
                  <c:v>0.89583333333333337</c:v>
                </c:pt>
                <c:pt idx="22">
                  <c:v>0.9375</c:v>
                </c:pt>
                <c:pt idx="23">
                  <c:v>0.97916666666666663</c:v>
                </c:pt>
              </c:numCache>
            </c:numRef>
          </c:cat>
          <c:val>
            <c:numRef>
              <c:f>'Load Profile'!$D$8:$D$31</c:f>
              <c:numCache>
                <c:formatCode>0.00</c:formatCode>
                <c:ptCount val="24"/>
                <c:pt idx="0">
                  <c:v>7.6860000000000012E-2</c:v>
                </c:pt>
                <c:pt idx="1">
                  <c:v>5.9068333333333341E-2</c:v>
                </c:pt>
                <c:pt idx="2">
                  <c:v>5.9068333333333341E-2</c:v>
                </c:pt>
                <c:pt idx="3">
                  <c:v>5.9068333333333341E-2</c:v>
                </c:pt>
                <c:pt idx="4">
                  <c:v>0.1693766666666667</c:v>
                </c:pt>
                <c:pt idx="5">
                  <c:v>5.9068333333333341E-2</c:v>
                </c:pt>
                <c:pt idx="6">
                  <c:v>0.27399166666666674</c:v>
                </c:pt>
                <c:pt idx="7">
                  <c:v>6.3338333333333344E-2</c:v>
                </c:pt>
                <c:pt idx="8">
                  <c:v>3.3448333333333337E-2</c:v>
                </c:pt>
                <c:pt idx="9">
                  <c:v>0.24339000000000005</c:v>
                </c:pt>
                <c:pt idx="10">
                  <c:v>0.25975833333333337</c:v>
                </c:pt>
                <c:pt idx="11">
                  <c:v>0.25975833333333337</c:v>
                </c:pt>
                <c:pt idx="12">
                  <c:v>0.25833500000000004</c:v>
                </c:pt>
                <c:pt idx="13">
                  <c:v>0.26047000000000003</c:v>
                </c:pt>
                <c:pt idx="14">
                  <c:v>3.3448333333333337E-2</c:v>
                </c:pt>
                <c:pt idx="15">
                  <c:v>0.25335333333333337</c:v>
                </c:pt>
                <c:pt idx="16">
                  <c:v>0.25335333333333337</c:v>
                </c:pt>
                <c:pt idx="17">
                  <c:v>0.21990500000000002</c:v>
                </c:pt>
                <c:pt idx="18">
                  <c:v>0.42201833333333338</c:v>
                </c:pt>
                <c:pt idx="19">
                  <c:v>0.41917166666666672</c:v>
                </c:pt>
                <c:pt idx="20">
                  <c:v>0.60705166666666677</c:v>
                </c:pt>
                <c:pt idx="21">
                  <c:v>0.62270833333333353</c:v>
                </c:pt>
                <c:pt idx="22">
                  <c:v>0.42486500000000005</c:v>
                </c:pt>
                <c:pt idx="23">
                  <c:v>0.2355616666666667</c:v>
                </c:pt>
              </c:numCache>
            </c:numRef>
          </c:val>
          <c:extLst>
            <c:ext xmlns:c16="http://schemas.microsoft.com/office/drawing/2014/chart" uri="{C3380CC4-5D6E-409C-BE32-E72D297353CC}">
              <c16:uniqueId val="{00000000-6ED8-4E65-A399-82DA6C3C480D}"/>
            </c:ext>
          </c:extLst>
        </c:ser>
        <c:ser>
          <c:idx val="1"/>
          <c:order val="1"/>
          <c:tx>
            <c:strRef>
              <c:f>'Load Profile'!$E$7</c:f>
              <c:strCache>
                <c:ptCount val="1"/>
                <c:pt idx="0">
                  <c:v>Institutions</c:v>
                </c:pt>
              </c:strCache>
            </c:strRef>
          </c:tx>
          <c:spPr>
            <a:ln w="25400">
              <a:noFill/>
            </a:ln>
          </c:spPr>
          <c:cat>
            <c:numRef>
              <c:f>'Load Profile'!$C$8:$C$31</c:f>
              <c:numCache>
                <c:formatCode>hh:mm;@</c:formatCode>
                <c:ptCount val="24"/>
                <c:pt idx="0">
                  <c:v>2.0833333333333332E-2</c:v>
                </c:pt>
                <c:pt idx="1">
                  <c:v>6.25E-2</c:v>
                </c:pt>
                <c:pt idx="2">
                  <c:v>0.10416666666666667</c:v>
                </c:pt>
                <c:pt idx="3">
                  <c:v>0.14583333333333334</c:v>
                </c:pt>
                <c:pt idx="4">
                  <c:v>0.1875</c:v>
                </c:pt>
                <c:pt idx="5">
                  <c:v>0.22916666666666666</c:v>
                </c:pt>
                <c:pt idx="6">
                  <c:v>0.27083333333333331</c:v>
                </c:pt>
                <c:pt idx="7">
                  <c:v>0.3125</c:v>
                </c:pt>
                <c:pt idx="8">
                  <c:v>0.35416666666666669</c:v>
                </c:pt>
                <c:pt idx="9">
                  <c:v>0.39583333333333331</c:v>
                </c:pt>
                <c:pt idx="10">
                  <c:v>0.4375</c:v>
                </c:pt>
                <c:pt idx="11">
                  <c:v>0.47916666666666669</c:v>
                </c:pt>
                <c:pt idx="12">
                  <c:v>0.52083333333333337</c:v>
                </c:pt>
                <c:pt idx="13">
                  <c:v>0.5625</c:v>
                </c:pt>
                <c:pt idx="14">
                  <c:v>0.60416666666666663</c:v>
                </c:pt>
                <c:pt idx="15">
                  <c:v>0.64583333333333337</c:v>
                </c:pt>
                <c:pt idx="16">
                  <c:v>0.6875</c:v>
                </c:pt>
                <c:pt idx="17">
                  <c:v>0.72916666666666663</c:v>
                </c:pt>
                <c:pt idx="18">
                  <c:v>0.77083333333333337</c:v>
                </c:pt>
                <c:pt idx="19">
                  <c:v>0.8125</c:v>
                </c:pt>
                <c:pt idx="20">
                  <c:v>0.85416666666666663</c:v>
                </c:pt>
                <c:pt idx="21">
                  <c:v>0.89583333333333337</c:v>
                </c:pt>
                <c:pt idx="22">
                  <c:v>0.9375</c:v>
                </c:pt>
                <c:pt idx="23">
                  <c:v>0.97916666666666663</c:v>
                </c:pt>
              </c:numCache>
            </c:numRef>
          </c:cat>
          <c:val>
            <c:numRef>
              <c:f>'Load Profile'!$E$8:$E$31</c:f>
              <c:numCache>
                <c:formatCode>0.00</c:formatCode>
                <c:ptCount val="24"/>
                <c:pt idx="0">
                  <c:v>7.4799999999999991E-2</c:v>
                </c:pt>
                <c:pt idx="1">
                  <c:v>0.08</c:v>
                </c:pt>
                <c:pt idx="2">
                  <c:v>0.09</c:v>
                </c:pt>
                <c:pt idx="3">
                  <c:v>0.12</c:v>
                </c:pt>
                <c:pt idx="4">
                  <c:v>0.13532</c:v>
                </c:pt>
                <c:pt idx="5">
                  <c:v>0.1</c:v>
                </c:pt>
                <c:pt idx="6">
                  <c:v>0</c:v>
                </c:pt>
                <c:pt idx="7">
                  <c:v>0</c:v>
                </c:pt>
                <c:pt idx="8">
                  <c:v>0</c:v>
                </c:pt>
                <c:pt idx="9">
                  <c:v>0</c:v>
                </c:pt>
                <c:pt idx="10">
                  <c:v>0</c:v>
                </c:pt>
                <c:pt idx="11">
                  <c:v>0</c:v>
                </c:pt>
                <c:pt idx="12">
                  <c:v>0</c:v>
                </c:pt>
                <c:pt idx="13">
                  <c:v>0</c:v>
                </c:pt>
                <c:pt idx="14">
                  <c:v>0</c:v>
                </c:pt>
                <c:pt idx="15">
                  <c:v>2.0400000000000001E-3</c:v>
                </c:pt>
                <c:pt idx="16">
                  <c:v>2.0400000000000001E-3</c:v>
                </c:pt>
                <c:pt idx="17">
                  <c:v>0</c:v>
                </c:pt>
                <c:pt idx="18">
                  <c:v>0.13532</c:v>
                </c:pt>
                <c:pt idx="19">
                  <c:v>0.14959999999999998</c:v>
                </c:pt>
                <c:pt idx="20">
                  <c:v>0.14959999999999998</c:v>
                </c:pt>
                <c:pt idx="21">
                  <c:v>0.14959999999999998</c:v>
                </c:pt>
                <c:pt idx="22">
                  <c:v>0.13532</c:v>
                </c:pt>
                <c:pt idx="23">
                  <c:v>8.1600000000000006E-3</c:v>
                </c:pt>
              </c:numCache>
            </c:numRef>
          </c:val>
          <c:extLst>
            <c:ext xmlns:c16="http://schemas.microsoft.com/office/drawing/2014/chart" uri="{C3380CC4-5D6E-409C-BE32-E72D297353CC}">
              <c16:uniqueId val="{0000001C-6ED8-4E65-A399-82DA6C3C480D}"/>
            </c:ext>
          </c:extLst>
        </c:ser>
        <c:ser>
          <c:idx val="2"/>
          <c:order val="2"/>
          <c:tx>
            <c:strRef>
              <c:f>'Load Profile'!$F$7</c:f>
              <c:strCache>
                <c:ptCount val="1"/>
                <c:pt idx="0">
                  <c:v>Business</c:v>
                </c:pt>
              </c:strCache>
            </c:strRef>
          </c:tx>
          <c:spPr>
            <a:ln w="25400">
              <a:noFill/>
            </a:ln>
          </c:spPr>
          <c:cat>
            <c:numRef>
              <c:f>'Load Profile'!$C$8:$C$31</c:f>
              <c:numCache>
                <c:formatCode>hh:mm;@</c:formatCode>
                <c:ptCount val="24"/>
                <c:pt idx="0">
                  <c:v>2.0833333333333332E-2</c:v>
                </c:pt>
                <c:pt idx="1">
                  <c:v>6.25E-2</c:v>
                </c:pt>
                <c:pt idx="2">
                  <c:v>0.10416666666666667</c:v>
                </c:pt>
                <c:pt idx="3">
                  <c:v>0.14583333333333334</c:v>
                </c:pt>
                <c:pt idx="4">
                  <c:v>0.1875</c:v>
                </c:pt>
                <c:pt idx="5">
                  <c:v>0.22916666666666666</c:v>
                </c:pt>
                <c:pt idx="6">
                  <c:v>0.27083333333333331</c:v>
                </c:pt>
                <c:pt idx="7">
                  <c:v>0.3125</c:v>
                </c:pt>
                <c:pt idx="8">
                  <c:v>0.35416666666666669</c:v>
                </c:pt>
                <c:pt idx="9">
                  <c:v>0.39583333333333331</c:v>
                </c:pt>
                <c:pt idx="10">
                  <c:v>0.4375</c:v>
                </c:pt>
                <c:pt idx="11">
                  <c:v>0.47916666666666669</c:v>
                </c:pt>
                <c:pt idx="12">
                  <c:v>0.52083333333333337</c:v>
                </c:pt>
                <c:pt idx="13">
                  <c:v>0.5625</c:v>
                </c:pt>
                <c:pt idx="14">
                  <c:v>0.60416666666666663</c:v>
                </c:pt>
                <c:pt idx="15">
                  <c:v>0.64583333333333337</c:v>
                </c:pt>
                <c:pt idx="16">
                  <c:v>0.6875</c:v>
                </c:pt>
                <c:pt idx="17">
                  <c:v>0.72916666666666663</c:v>
                </c:pt>
                <c:pt idx="18">
                  <c:v>0.77083333333333337</c:v>
                </c:pt>
                <c:pt idx="19">
                  <c:v>0.8125</c:v>
                </c:pt>
                <c:pt idx="20">
                  <c:v>0.85416666666666663</c:v>
                </c:pt>
                <c:pt idx="21">
                  <c:v>0.89583333333333337</c:v>
                </c:pt>
                <c:pt idx="22">
                  <c:v>0.9375</c:v>
                </c:pt>
                <c:pt idx="23">
                  <c:v>0.97916666666666663</c:v>
                </c:pt>
              </c:numCache>
            </c:numRef>
          </c:cat>
          <c:val>
            <c:numRef>
              <c:f>'Load Profile'!$F$8:$F$31</c:f>
              <c:numCache>
                <c:formatCode>0.00</c:formatCode>
                <c:ptCount val="24"/>
                <c:pt idx="0">
                  <c:v>1.3703999999999998</c:v>
                </c:pt>
                <c:pt idx="1">
                  <c:v>0.27813225806451614</c:v>
                </c:pt>
                <c:pt idx="2">
                  <c:v>0.19616612903225805</c:v>
                </c:pt>
                <c:pt idx="3">
                  <c:v>0.19616612903225805</c:v>
                </c:pt>
                <c:pt idx="4">
                  <c:v>0.19616612903225805</c:v>
                </c:pt>
                <c:pt idx="5">
                  <c:v>0.19616612903225805</c:v>
                </c:pt>
                <c:pt idx="6">
                  <c:v>0.96333225806451606</c:v>
                </c:pt>
                <c:pt idx="7">
                  <c:v>1.1756153225806452</c:v>
                </c:pt>
                <c:pt idx="8">
                  <c:v>2.1278959677419351</c:v>
                </c:pt>
                <c:pt idx="9">
                  <c:v>2.4133959677419354</c:v>
                </c:pt>
                <c:pt idx="10">
                  <c:v>2.6777137096774188</c:v>
                </c:pt>
                <c:pt idx="11">
                  <c:v>3.3831749999999996</c:v>
                </c:pt>
                <c:pt idx="12">
                  <c:v>3.3840959677419349</c:v>
                </c:pt>
                <c:pt idx="13">
                  <c:v>3.6723588709677415</c:v>
                </c:pt>
                <c:pt idx="14">
                  <c:v>3.6769637096774193</c:v>
                </c:pt>
                <c:pt idx="15">
                  <c:v>3.4485637096774191</c:v>
                </c:pt>
                <c:pt idx="16">
                  <c:v>3.2947620967741931</c:v>
                </c:pt>
                <c:pt idx="17">
                  <c:v>3.2459508064516127</c:v>
                </c:pt>
                <c:pt idx="18">
                  <c:v>6.7433258064516117</c:v>
                </c:pt>
                <c:pt idx="19">
                  <c:v>8.6842653225806448</c:v>
                </c:pt>
                <c:pt idx="20">
                  <c:v>8.9835798387096766</c:v>
                </c:pt>
                <c:pt idx="21">
                  <c:v>7.9244669354838706</c:v>
                </c:pt>
                <c:pt idx="22">
                  <c:v>6.2699483870967736</c:v>
                </c:pt>
                <c:pt idx="23">
                  <c:v>4.6877258064516125</c:v>
                </c:pt>
              </c:numCache>
            </c:numRef>
          </c:val>
          <c:extLst>
            <c:ext xmlns:c16="http://schemas.microsoft.com/office/drawing/2014/chart" uri="{C3380CC4-5D6E-409C-BE32-E72D297353CC}">
              <c16:uniqueId val="{0000001D-6ED8-4E65-A399-82DA6C3C480D}"/>
            </c:ext>
          </c:extLst>
        </c:ser>
        <c:ser>
          <c:idx val="3"/>
          <c:order val="3"/>
          <c:tx>
            <c:strRef>
              <c:f>'Load Profile'!$G$7</c:f>
              <c:strCache>
                <c:ptCount val="1"/>
                <c:pt idx="0">
                  <c:v>Anchor</c:v>
                </c:pt>
              </c:strCache>
            </c:strRef>
          </c:tx>
          <c:spPr>
            <a:ln w="25400">
              <a:noFill/>
            </a:ln>
          </c:spPr>
          <c:cat>
            <c:numRef>
              <c:f>'Load Profile'!$C$8:$C$31</c:f>
              <c:numCache>
                <c:formatCode>hh:mm;@</c:formatCode>
                <c:ptCount val="24"/>
                <c:pt idx="0">
                  <c:v>2.0833333333333332E-2</c:v>
                </c:pt>
                <c:pt idx="1">
                  <c:v>6.25E-2</c:v>
                </c:pt>
                <c:pt idx="2">
                  <c:v>0.10416666666666667</c:v>
                </c:pt>
                <c:pt idx="3">
                  <c:v>0.14583333333333334</c:v>
                </c:pt>
                <c:pt idx="4">
                  <c:v>0.1875</c:v>
                </c:pt>
                <c:pt idx="5">
                  <c:v>0.22916666666666666</c:v>
                </c:pt>
                <c:pt idx="6">
                  <c:v>0.27083333333333331</c:v>
                </c:pt>
                <c:pt idx="7">
                  <c:v>0.3125</c:v>
                </c:pt>
                <c:pt idx="8">
                  <c:v>0.35416666666666669</c:v>
                </c:pt>
                <c:pt idx="9">
                  <c:v>0.39583333333333331</c:v>
                </c:pt>
                <c:pt idx="10">
                  <c:v>0.4375</c:v>
                </c:pt>
                <c:pt idx="11">
                  <c:v>0.47916666666666669</c:v>
                </c:pt>
                <c:pt idx="12">
                  <c:v>0.52083333333333337</c:v>
                </c:pt>
                <c:pt idx="13">
                  <c:v>0.5625</c:v>
                </c:pt>
                <c:pt idx="14">
                  <c:v>0.60416666666666663</c:v>
                </c:pt>
                <c:pt idx="15">
                  <c:v>0.64583333333333337</c:v>
                </c:pt>
                <c:pt idx="16">
                  <c:v>0.6875</c:v>
                </c:pt>
                <c:pt idx="17">
                  <c:v>0.72916666666666663</c:v>
                </c:pt>
                <c:pt idx="18">
                  <c:v>0.77083333333333337</c:v>
                </c:pt>
                <c:pt idx="19">
                  <c:v>0.8125</c:v>
                </c:pt>
                <c:pt idx="20">
                  <c:v>0.85416666666666663</c:v>
                </c:pt>
                <c:pt idx="21">
                  <c:v>0.89583333333333337</c:v>
                </c:pt>
                <c:pt idx="22">
                  <c:v>0.9375</c:v>
                </c:pt>
                <c:pt idx="23">
                  <c:v>0.97916666666666663</c:v>
                </c:pt>
              </c:numCache>
            </c:numRef>
          </c:cat>
          <c:val>
            <c:numRef>
              <c:f>'Load Profile'!$G$8:$G$31</c:f>
              <c:numCache>
                <c:formatCode>0.00</c:formatCode>
                <c:ptCount val="24"/>
                <c:pt idx="0">
                  <c:v>2.0250000000000001E-2</c:v>
                </c:pt>
                <c:pt idx="1">
                  <c:v>0.03</c:v>
                </c:pt>
                <c:pt idx="2">
                  <c:v>0.03</c:v>
                </c:pt>
                <c:pt idx="3">
                  <c:v>0.12</c:v>
                </c:pt>
                <c:pt idx="4">
                  <c:v>0.16200000000000001</c:v>
                </c:pt>
                <c:pt idx="5">
                  <c:v>0.2</c:v>
                </c:pt>
                <c:pt idx="6">
                  <c:v>0.22500000000000001</c:v>
                </c:pt>
                <c:pt idx="7">
                  <c:v>1.798</c:v>
                </c:pt>
                <c:pt idx="8">
                  <c:v>1.798</c:v>
                </c:pt>
                <c:pt idx="9">
                  <c:v>7.4681999999999995</c:v>
                </c:pt>
                <c:pt idx="10">
                  <c:v>7.5798000000000005</c:v>
                </c:pt>
                <c:pt idx="11">
                  <c:v>7.5798000000000005</c:v>
                </c:pt>
                <c:pt idx="12">
                  <c:v>7.5798000000000005</c:v>
                </c:pt>
                <c:pt idx="13">
                  <c:v>7.5798000000000005</c:v>
                </c:pt>
                <c:pt idx="14">
                  <c:v>7.58</c:v>
                </c:pt>
                <c:pt idx="15">
                  <c:v>7.5798000000000005</c:v>
                </c:pt>
                <c:pt idx="16">
                  <c:v>7.4681999999999995</c:v>
                </c:pt>
                <c:pt idx="17">
                  <c:v>1.7982</c:v>
                </c:pt>
                <c:pt idx="18">
                  <c:v>1.7982</c:v>
                </c:pt>
                <c:pt idx="19">
                  <c:v>4.6350000000000002E-2</c:v>
                </c:pt>
                <c:pt idx="20">
                  <c:v>4.6350000000000002E-2</c:v>
                </c:pt>
                <c:pt idx="21">
                  <c:v>4.6350000000000002E-2</c:v>
                </c:pt>
                <c:pt idx="22">
                  <c:v>4.4999999999999998E-2</c:v>
                </c:pt>
                <c:pt idx="23">
                  <c:v>2.7E-2</c:v>
                </c:pt>
              </c:numCache>
            </c:numRef>
          </c:val>
          <c:extLst>
            <c:ext xmlns:c16="http://schemas.microsoft.com/office/drawing/2014/chart" uri="{C3380CC4-5D6E-409C-BE32-E72D297353CC}">
              <c16:uniqueId val="{0000001E-6ED8-4E65-A399-82DA6C3C480D}"/>
            </c:ext>
          </c:extLst>
        </c:ser>
        <c:dLbls>
          <c:showLegendKey val="0"/>
          <c:showVal val="0"/>
          <c:showCatName val="0"/>
          <c:showSerName val="0"/>
          <c:showPercent val="0"/>
          <c:showBubbleSize val="0"/>
        </c:dLbls>
        <c:axId val="212776976"/>
        <c:axId val="212777368"/>
      </c:areaChart>
      <c:catAx>
        <c:axId val="212776976"/>
        <c:scaling>
          <c:orientation val="minMax"/>
        </c:scaling>
        <c:delete val="0"/>
        <c:axPos val="b"/>
        <c:numFmt formatCode="hh:mm;@" sourceLinked="1"/>
        <c:majorTickMark val="out"/>
        <c:minorTickMark val="none"/>
        <c:tickLblPos val="nextTo"/>
        <c:crossAx val="212777368"/>
        <c:crosses val="autoZero"/>
        <c:auto val="0"/>
        <c:lblAlgn val="ctr"/>
        <c:lblOffset val="100"/>
        <c:tickLblSkip val="2"/>
        <c:noMultiLvlLbl val="0"/>
      </c:catAx>
      <c:valAx>
        <c:axId val="212777368"/>
        <c:scaling>
          <c:orientation val="minMax"/>
        </c:scaling>
        <c:delete val="0"/>
        <c:axPos val="l"/>
        <c:majorGridlines/>
        <c:title>
          <c:tx>
            <c:rich>
              <a:bodyPr rot="-5400000" vert="horz"/>
              <a:lstStyle/>
              <a:p>
                <a:pPr>
                  <a:defRPr/>
                </a:pPr>
                <a:r>
                  <a:rPr lang="de-DE"/>
                  <a:t>load [kW]</a:t>
                </a:r>
              </a:p>
            </c:rich>
          </c:tx>
          <c:overlay val="0"/>
        </c:title>
        <c:numFmt formatCode="0" sourceLinked="0"/>
        <c:majorTickMark val="out"/>
        <c:minorTickMark val="none"/>
        <c:tickLblPos val="nextTo"/>
        <c:crossAx val="212776976"/>
        <c:crosses val="autoZero"/>
        <c:crossBetween val="midCat"/>
      </c:valAx>
    </c:plotArea>
    <c:legend>
      <c:legendPos val="b"/>
      <c:overlay val="0"/>
    </c:legend>
    <c:plotVisOnly val="1"/>
    <c:dispBlanksAs val="zero"/>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sng" strike="noStrike" kern="1200" spc="0" baseline="0">
                <a:solidFill>
                  <a:schemeClr val="tx1">
                    <a:lumMod val="65000"/>
                    <a:lumOff val="35000"/>
                  </a:schemeClr>
                </a:solidFill>
                <a:latin typeface="+mn-lt"/>
                <a:ea typeface="+mn-ea"/>
                <a:cs typeface="+mn-cs"/>
              </a:defRPr>
            </a:pPr>
            <a:r>
              <a:rPr lang="en-US" sz="1000" b="1" u="sng"/>
              <a:t>Comparison of Tariffs: Straight versus Levelised Cost of Electricity (LCOE) in KES/kWh</a:t>
            </a:r>
          </a:p>
        </c:rich>
      </c:tx>
      <c:overlay val="0"/>
      <c:spPr>
        <a:noFill/>
        <a:ln>
          <a:noFill/>
        </a:ln>
        <a:effectLst/>
      </c:spPr>
      <c:txPr>
        <a:bodyPr rot="0" spcFirstLastPara="1" vertOverflow="ellipsis" vert="horz" wrap="square" anchor="ctr" anchorCtr="1"/>
        <a:lstStyle/>
        <a:p>
          <a:pPr>
            <a:defRPr sz="10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04489376639305"/>
          <c:y val="8.7882190899274931E-2"/>
          <c:w val="0.85919023357958124"/>
          <c:h val="0.69478397891869259"/>
        </c:manualLayout>
      </c:layout>
      <c:lineChart>
        <c:grouping val="standard"/>
        <c:varyColors val="0"/>
        <c:ser>
          <c:idx val="0"/>
          <c:order val="0"/>
          <c:tx>
            <c:strRef>
              <c:f>'Tariff Calculator'!$C$41</c:f>
              <c:strCache>
                <c:ptCount val="1"/>
                <c:pt idx="0">
                  <c:v>Cost reflective Tariff annual calculation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'Tariff Calculator'!$E$5:$N$5</c:f>
              <c:numCache>
                <c:formatCode>#,##0_ ;[Red]\-#,##0\ </c:formatCode>
                <c:ptCount val="10"/>
                <c:pt idx="0">
                  <c:v>1</c:v>
                </c:pt>
                <c:pt idx="1">
                  <c:v>2</c:v>
                </c:pt>
                <c:pt idx="2">
                  <c:v>3</c:v>
                </c:pt>
                <c:pt idx="3">
                  <c:v>4</c:v>
                </c:pt>
                <c:pt idx="4">
                  <c:v>5</c:v>
                </c:pt>
                <c:pt idx="5">
                  <c:v>6</c:v>
                </c:pt>
                <c:pt idx="6">
                  <c:v>7</c:v>
                </c:pt>
                <c:pt idx="7">
                  <c:v>8</c:v>
                </c:pt>
                <c:pt idx="8">
                  <c:v>9</c:v>
                </c:pt>
                <c:pt idx="9">
                  <c:v>10</c:v>
                </c:pt>
              </c:numCache>
            </c:numRef>
          </c:cat>
          <c:val>
            <c:numRef>
              <c:f>'Tariff Calculator'!$E$41:$N$41</c:f>
              <c:numCache>
                <c:formatCode>#,##0.00_ ;[Red]\-#,##0.00\ </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9D0-4FBB-80EA-0F8F9F5E0D43}"/>
            </c:ext>
          </c:extLst>
        </c:ser>
        <c:ser>
          <c:idx val="1"/>
          <c:order val="1"/>
          <c:tx>
            <c:strRef>
              <c:f>'Tariff Calculator'!$C$43</c:f>
              <c:strCache>
                <c:ptCount val="1"/>
                <c:pt idx="0">
                  <c:v>Cost reflective tariff as Year One LCOE + Escalation</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'Tariff Calculator'!$E$43:$N$43</c:f>
              <c:numCache>
                <c:formatCode>#,##0.00_ ;[Red]\-#,##0.00\ </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9D0-4FBB-80EA-0F8F9F5E0D43}"/>
            </c:ext>
          </c:extLst>
        </c:ser>
        <c:dLbls>
          <c:showLegendKey val="0"/>
          <c:showVal val="0"/>
          <c:showCatName val="0"/>
          <c:showSerName val="0"/>
          <c:showPercent val="0"/>
          <c:showBubbleSize val="0"/>
        </c:dLbls>
        <c:smooth val="0"/>
        <c:axId val="437246968"/>
        <c:axId val="437244344"/>
      </c:lineChart>
      <c:catAx>
        <c:axId val="4372469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244344"/>
        <c:crosses val="autoZero"/>
        <c:auto val="1"/>
        <c:lblAlgn val="ctr"/>
        <c:lblOffset val="100"/>
        <c:noMultiLvlLbl val="0"/>
      </c:catAx>
      <c:valAx>
        <c:axId val="437244344"/>
        <c:scaling>
          <c:orientation val="minMax"/>
          <c:max val="85"/>
          <c:min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Straight one-part Tariff in KES/Kwh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_ ;[Red]\-#,##0.00\ "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246968"/>
        <c:crosses val="autoZero"/>
        <c:crossBetween val="midCat"/>
        <c:majorUnit val="10"/>
        <c:min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19</xdr:col>
      <xdr:colOff>219075</xdr:colOff>
      <xdr:row>2</xdr:row>
      <xdr:rowOff>28575</xdr:rowOff>
    </xdr:from>
    <xdr:to>
      <xdr:col>22</xdr:col>
      <xdr:colOff>485775</xdr:colOff>
      <xdr:row>6</xdr:row>
      <xdr:rowOff>171450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67975" y="266700"/>
          <a:ext cx="2162175"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266699</xdr:colOff>
      <xdr:row>1</xdr:row>
      <xdr:rowOff>76200</xdr:rowOff>
    </xdr:from>
    <xdr:to>
      <xdr:col>18</xdr:col>
      <xdr:colOff>600074</xdr:colOff>
      <xdr:row>7</xdr:row>
      <xdr:rowOff>47625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0749" y="171450"/>
          <a:ext cx="2162175"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57150</xdr:colOff>
      <xdr:row>1</xdr:row>
      <xdr:rowOff>47625</xdr:rowOff>
    </xdr:from>
    <xdr:to>
      <xdr:col>30</xdr:col>
      <xdr:colOff>561975</xdr:colOff>
      <xdr:row>5</xdr:row>
      <xdr:rowOff>38101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55050" y="142875"/>
          <a:ext cx="2162175" cy="6000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8</xdr:row>
      <xdr:rowOff>171450</xdr:rowOff>
    </xdr:from>
    <xdr:to>
      <xdr:col>17</xdr:col>
      <xdr:colOff>85725</xdr:colOff>
      <xdr:row>24</xdr:row>
      <xdr:rowOff>133350</xdr:rowOff>
    </xdr:to>
    <xdr:graphicFrame macro="">
      <xdr:nvGraphicFramePr>
        <xdr:cNvPr id="2" name="Diagramm 1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257175</xdr:colOff>
      <xdr:row>1</xdr:row>
      <xdr:rowOff>57151</xdr:rowOff>
    </xdr:from>
    <xdr:to>
      <xdr:col>19</xdr:col>
      <xdr:colOff>590550</xdr:colOff>
      <xdr:row>6</xdr:row>
      <xdr:rowOff>9526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34625" y="152401"/>
          <a:ext cx="2162175" cy="781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42</xdr:col>
      <xdr:colOff>285750</xdr:colOff>
      <xdr:row>1</xdr:row>
      <xdr:rowOff>0</xdr:rowOff>
    </xdr:from>
    <xdr:to>
      <xdr:col>45</xdr:col>
      <xdr:colOff>47625</xdr:colOff>
      <xdr:row>4</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66650" y="95250"/>
          <a:ext cx="2162175" cy="523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333375</xdr:colOff>
      <xdr:row>2</xdr:row>
      <xdr:rowOff>95251</xdr:rowOff>
    </xdr:from>
    <xdr:to>
      <xdr:col>11</xdr:col>
      <xdr:colOff>788843</xdr:colOff>
      <xdr:row>6</xdr:row>
      <xdr:rowOff>57151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2800" y="285751"/>
          <a:ext cx="2112818" cy="685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42</xdr:col>
      <xdr:colOff>152400</xdr:colOff>
      <xdr:row>0</xdr:row>
      <xdr:rowOff>66675</xdr:rowOff>
    </xdr:from>
    <xdr:to>
      <xdr:col>44</xdr:col>
      <xdr:colOff>523875</xdr:colOff>
      <xdr:row>4</xdr:row>
      <xdr:rowOff>38100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76200" y="66675"/>
          <a:ext cx="2162175" cy="638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325669</xdr:colOff>
      <xdr:row>2</xdr:row>
      <xdr:rowOff>39688</xdr:rowOff>
    </xdr:from>
    <xdr:to>
      <xdr:col>22</xdr:col>
      <xdr:colOff>275619</xdr:colOff>
      <xdr:row>4</xdr:row>
      <xdr:rowOff>166858</xdr:rowOff>
    </xdr:to>
    <xdr:pic>
      <xdr:nvPicPr>
        <xdr:cNvPr id="2" name="Picture 1" descr="C:\Users\Florian\Documents\ProSolar\Outputs\Handbooks\4. Financing handbook &amp; WS\handbook\Fin pictures\Fin handbook icons\Logos\ERC-logo2.png">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69"/>
        <a:stretch/>
      </xdr:blipFill>
      <xdr:spPr bwMode="auto">
        <a:xfrm>
          <a:off x="15277935" y="238126"/>
          <a:ext cx="1160418" cy="504201"/>
        </a:xfrm>
        <a:prstGeom prst="rect">
          <a:avLst/>
        </a:prstGeom>
        <a:noFill/>
        <a:ln>
          <a:noFill/>
        </a:ln>
        <a:extLst>
          <a:ext uri="{53640926-AAD7-44D8-BBD7-CCE9431645EC}">
            <a14:shadowObscured xmlns:a14="http://schemas.microsoft.com/office/drawing/2010/main"/>
          </a:ext>
        </a:extLst>
      </xdr:spPr>
    </xdr:pic>
    <xdr:clientData/>
  </xdr:twoCellAnchor>
  <xdr:twoCellAnchor>
    <xdr:from>
      <xdr:col>10</xdr:col>
      <xdr:colOff>0</xdr:colOff>
      <xdr:row>37</xdr:row>
      <xdr:rowOff>0</xdr:rowOff>
    </xdr:from>
    <xdr:to>
      <xdr:col>22</xdr:col>
      <xdr:colOff>331392</xdr:colOff>
      <xdr:row>61</xdr:row>
      <xdr:rowOff>79375</xdr:rowOff>
    </xdr:to>
    <xdr:graphicFrame macro="">
      <xdr:nvGraphicFramePr>
        <xdr:cNvPr id="5" name="Chart 4">
          <a:extLst>
            <a:ext uri="{FF2B5EF4-FFF2-40B4-BE49-F238E27FC236}">
              <a16:creationId xmlns:a16="http://schemas.microsoft.com/office/drawing/2014/main" id="{D2E7CB5F-EB29-4FE8-B62B-2151445769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9922</xdr:colOff>
      <xdr:row>2</xdr:row>
      <xdr:rowOff>19843</xdr:rowOff>
    </xdr:from>
    <xdr:to>
      <xdr:col>16</xdr:col>
      <xdr:colOff>296863</xdr:colOff>
      <xdr:row>5</xdr:row>
      <xdr:rowOff>330200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66016" y="218281"/>
          <a:ext cx="2162175" cy="885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790575</xdr:colOff>
      <xdr:row>2</xdr:row>
      <xdr:rowOff>19050</xdr:rowOff>
    </xdr:from>
    <xdr:to>
      <xdr:col>12</xdr:col>
      <xdr:colOff>95250</xdr:colOff>
      <xdr:row>6</xdr:row>
      <xdr:rowOff>85725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8700" y="209550"/>
          <a:ext cx="2162175"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72C4"/>
    <pageSetUpPr fitToPage="1"/>
  </sheetPr>
  <dimension ref="B1:W113"/>
  <sheetViews>
    <sheetView showGridLines="0" tabSelected="1" topLeftCell="C1" zoomScaleNormal="100" workbookViewId="0">
      <selection activeCell="D3" sqref="C3:D3"/>
    </sheetView>
  </sheetViews>
  <sheetFormatPr defaultColWidth="9.140625" defaultRowHeight="15" x14ac:dyDescent="0.25"/>
  <cols>
    <col min="1" max="1" width="1.42578125" style="151" customWidth="1"/>
    <col min="2" max="2" width="2.140625" style="151" customWidth="1"/>
    <col min="3" max="3" width="2.42578125" style="154" customWidth="1"/>
    <col min="4" max="4" width="9" style="154" customWidth="1"/>
    <col min="5" max="5" width="9" style="153" bestFit="1" customWidth="1"/>
    <col min="6" max="7" width="9.140625" style="151"/>
    <col min="8" max="8" width="10.85546875" style="151" customWidth="1"/>
    <col min="9" max="21" width="9.140625" style="151"/>
    <col min="22" max="22" width="10.140625" style="558" customWidth="1"/>
    <col min="23" max="16384" width="9.140625" style="151"/>
  </cols>
  <sheetData>
    <row r="1" spans="2:23" ht="7.5" customHeight="1" x14ac:dyDescent="0.25"/>
    <row r="2" spans="2:23" ht="11.25" customHeight="1" x14ac:dyDescent="0.25">
      <c r="B2" s="156"/>
      <c r="C2" s="144"/>
      <c r="D2" s="144"/>
      <c r="E2" s="144"/>
      <c r="F2" s="144"/>
      <c r="G2" s="144"/>
      <c r="H2" s="144"/>
      <c r="I2" s="144"/>
      <c r="J2" s="144"/>
      <c r="K2" s="144"/>
      <c r="L2" s="144"/>
      <c r="M2" s="144"/>
      <c r="N2" s="144"/>
      <c r="O2" s="144"/>
      <c r="P2" s="144"/>
      <c r="Q2" s="144"/>
      <c r="R2" s="144"/>
      <c r="S2" s="144"/>
      <c r="T2" s="144"/>
      <c r="U2" s="144"/>
      <c r="V2" s="346"/>
      <c r="W2" s="144"/>
    </row>
    <row r="3" spans="2:23" s="152" customFormat="1" ht="21" x14ac:dyDescent="0.35">
      <c r="B3" s="157"/>
      <c r="C3" s="149" t="s">
        <v>462</v>
      </c>
      <c r="D3" s="144"/>
      <c r="E3" s="144"/>
      <c r="F3" s="144"/>
      <c r="G3" s="144"/>
      <c r="H3" s="144"/>
      <c r="I3" s="144"/>
      <c r="J3" s="144"/>
      <c r="K3" s="144"/>
      <c r="L3" s="144"/>
      <c r="M3" s="144"/>
      <c r="N3" s="144"/>
      <c r="O3" s="144"/>
      <c r="P3" s="144"/>
      <c r="Q3" s="144"/>
      <c r="R3" s="144"/>
      <c r="S3" s="144"/>
      <c r="T3" s="144"/>
      <c r="U3" s="144"/>
      <c r="V3" s="346"/>
      <c r="W3" s="144"/>
    </row>
    <row r="4" spans="2:23" x14ac:dyDescent="0.25">
      <c r="B4" s="156"/>
      <c r="C4" s="144"/>
      <c r="D4" s="144"/>
      <c r="E4" s="144"/>
      <c r="F4" s="144"/>
      <c r="G4" s="144"/>
      <c r="H4" s="144"/>
      <c r="I4" s="144"/>
      <c r="J4" s="144"/>
      <c r="K4" s="144"/>
      <c r="L4" s="144"/>
      <c r="M4" s="144"/>
      <c r="N4" s="144"/>
      <c r="O4" s="144"/>
      <c r="P4" s="144"/>
      <c r="Q4" s="144"/>
      <c r="R4" s="144"/>
      <c r="S4" s="144"/>
      <c r="T4" s="144"/>
      <c r="U4" s="144"/>
      <c r="V4" s="346"/>
      <c r="W4" s="144"/>
    </row>
    <row r="5" spans="2:23" x14ac:dyDescent="0.25">
      <c r="B5" s="156"/>
      <c r="C5" s="144"/>
      <c r="D5" s="144" t="s">
        <v>476</v>
      </c>
      <c r="E5" s="144"/>
      <c r="F5" s="144"/>
      <c r="G5" s="144" t="s">
        <v>605</v>
      </c>
      <c r="H5" s="156"/>
      <c r="I5" s="144"/>
      <c r="J5" s="144"/>
      <c r="K5" s="144"/>
      <c r="L5" s="144"/>
      <c r="M5" s="144"/>
      <c r="N5" s="144"/>
      <c r="O5" s="144"/>
      <c r="P5" s="144"/>
      <c r="Q5" s="144"/>
      <c r="R5" s="144"/>
      <c r="S5" s="144"/>
      <c r="T5" s="144"/>
      <c r="U5" s="144"/>
      <c r="V5" s="346"/>
      <c r="W5" s="144"/>
    </row>
    <row r="6" spans="2:23" ht="7.5" customHeight="1" x14ac:dyDescent="0.25">
      <c r="B6" s="156"/>
      <c r="C6" s="144"/>
      <c r="D6" s="144"/>
      <c r="E6" s="144"/>
      <c r="F6" s="144"/>
      <c r="G6" s="144"/>
      <c r="H6" s="156"/>
      <c r="I6" s="144"/>
      <c r="J6" s="144"/>
      <c r="K6" s="144"/>
      <c r="L6" s="144"/>
      <c r="M6" s="144"/>
      <c r="N6" s="144"/>
      <c r="O6" s="144"/>
      <c r="P6" s="144"/>
      <c r="Q6" s="144"/>
      <c r="R6" s="144"/>
      <c r="S6" s="144"/>
      <c r="T6" s="144"/>
      <c r="U6" s="144"/>
      <c r="V6" s="346"/>
      <c r="W6" s="144"/>
    </row>
    <row r="7" spans="2:23" x14ac:dyDescent="0.25">
      <c r="B7" s="156"/>
      <c r="C7" s="144"/>
      <c r="D7" s="144" t="s">
        <v>335</v>
      </c>
      <c r="E7" s="144"/>
      <c r="F7" s="144"/>
      <c r="G7" s="144" t="s">
        <v>606</v>
      </c>
      <c r="H7" s="156"/>
      <c r="I7" s="144"/>
      <c r="J7" s="144"/>
      <c r="K7" s="144"/>
      <c r="L7" s="144"/>
      <c r="M7" s="144"/>
      <c r="N7" s="144"/>
      <c r="O7" s="144"/>
      <c r="P7" s="144"/>
      <c r="Q7" s="144"/>
      <c r="R7" s="144"/>
      <c r="S7" s="144"/>
      <c r="T7" s="144"/>
      <c r="U7" s="144"/>
      <c r="V7" s="346"/>
      <c r="W7" s="144"/>
    </row>
    <row r="8" spans="2:23" ht="7.5" customHeight="1" x14ac:dyDescent="0.25">
      <c r="B8" s="156"/>
      <c r="C8" s="144"/>
      <c r="D8" s="144"/>
      <c r="E8" s="144"/>
      <c r="F8" s="144"/>
      <c r="G8" s="144"/>
      <c r="H8" s="156"/>
      <c r="I8" s="144"/>
      <c r="J8" s="144"/>
      <c r="K8" s="144"/>
      <c r="L8" s="144"/>
      <c r="M8" s="144"/>
      <c r="N8" s="144"/>
      <c r="O8" s="144"/>
      <c r="P8" s="144"/>
      <c r="Q8" s="144"/>
      <c r="R8" s="144"/>
      <c r="S8" s="144"/>
      <c r="T8" s="144"/>
      <c r="U8" s="144"/>
      <c r="V8" s="346"/>
      <c r="W8" s="144"/>
    </row>
    <row r="9" spans="2:23" x14ac:dyDescent="0.25">
      <c r="B9" s="156"/>
      <c r="C9" s="144"/>
      <c r="D9" s="144" t="s">
        <v>477</v>
      </c>
      <c r="E9" s="144"/>
      <c r="F9" s="144"/>
      <c r="G9" s="144" t="s">
        <v>361</v>
      </c>
      <c r="H9" s="156"/>
      <c r="I9" s="144"/>
      <c r="J9" s="144"/>
      <c r="K9" s="144"/>
      <c r="L9" s="144"/>
      <c r="M9" s="144"/>
      <c r="N9" s="144"/>
      <c r="O9" s="144"/>
      <c r="P9" s="144"/>
      <c r="Q9" s="144"/>
      <c r="R9" s="144"/>
      <c r="S9" s="144"/>
      <c r="T9" s="144"/>
      <c r="U9" s="144"/>
      <c r="V9" s="346"/>
      <c r="W9" s="144"/>
    </row>
    <row r="10" spans="2:23" ht="7.5" customHeight="1" x14ac:dyDescent="0.25">
      <c r="B10" s="156"/>
      <c r="C10" s="144"/>
      <c r="D10" s="144"/>
      <c r="E10" s="144"/>
      <c r="F10" s="144"/>
      <c r="G10" s="144"/>
      <c r="H10" s="156"/>
      <c r="I10" s="144"/>
      <c r="J10" s="144"/>
      <c r="K10" s="144"/>
      <c r="L10" s="144"/>
      <c r="M10" s="144"/>
      <c r="N10" s="144"/>
      <c r="O10" s="144"/>
      <c r="P10" s="144"/>
      <c r="Q10" s="144"/>
      <c r="R10" s="144"/>
      <c r="S10" s="144"/>
      <c r="T10" s="144"/>
      <c r="U10" s="144"/>
      <c r="V10" s="346"/>
      <c r="W10" s="144"/>
    </row>
    <row r="11" spans="2:23" x14ac:dyDescent="0.25">
      <c r="B11" s="156"/>
      <c r="C11" s="144"/>
      <c r="D11" s="144" t="s">
        <v>296</v>
      </c>
      <c r="E11" s="144"/>
      <c r="F11" s="144"/>
      <c r="G11" s="144" t="s">
        <v>579</v>
      </c>
      <c r="H11" s="156"/>
      <c r="I11" s="144"/>
      <c r="J11" s="144"/>
      <c r="K11" s="144"/>
      <c r="L11" s="144"/>
      <c r="M11" s="144"/>
      <c r="N11" s="144"/>
      <c r="O11" s="144"/>
      <c r="P11" s="144"/>
      <c r="Q11" s="144"/>
      <c r="R11" s="144"/>
      <c r="S11" s="144"/>
      <c r="T11" s="144"/>
      <c r="U11" s="144"/>
      <c r="V11" s="346"/>
      <c r="W11" s="144"/>
    </row>
    <row r="12" spans="2:23" ht="7.5" customHeight="1" x14ac:dyDescent="0.25">
      <c r="B12" s="156"/>
      <c r="C12" s="144"/>
      <c r="D12" s="144"/>
      <c r="E12" s="144"/>
      <c r="F12" s="144"/>
      <c r="G12" s="144"/>
      <c r="H12" s="156"/>
      <c r="I12" s="144"/>
      <c r="J12" s="144"/>
      <c r="K12" s="144"/>
      <c r="L12" s="144"/>
      <c r="M12" s="144"/>
      <c r="N12" s="144"/>
      <c r="O12" s="144"/>
      <c r="P12" s="144"/>
      <c r="Q12" s="144"/>
      <c r="R12" s="144"/>
      <c r="S12" s="144"/>
      <c r="T12" s="144"/>
      <c r="U12" s="144"/>
      <c r="V12" s="346"/>
      <c r="W12" s="144"/>
    </row>
    <row r="13" spans="2:23" hidden="1" x14ac:dyDescent="0.25">
      <c r="B13" s="156"/>
      <c r="C13" s="144"/>
      <c r="D13" s="144" t="s">
        <v>478</v>
      </c>
      <c r="E13" s="144"/>
      <c r="F13" s="144"/>
      <c r="G13" s="148" t="s">
        <v>461</v>
      </c>
      <c r="H13" s="156"/>
      <c r="I13" s="144"/>
      <c r="J13" s="144"/>
      <c r="K13" s="144"/>
      <c r="L13" s="144"/>
      <c r="M13" s="144"/>
      <c r="N13" s="144"/>
      <c r="O13" s="144"/>
      <c r="P13" s="144"/>
      <c r="Q13" s="144"/>
      <c r="R13" s="144"/>
      <c r="S13" s="144"/>
      <c r="T13" s="144"/>
      <c r="U13" s="144"/>
      <c r="V13" s="346"/>
      <c r="W13" s="144"/>
    </row>
    <row r="14" spans="2:23" ht="7.5" hidden="1" customHeight="1" x14ac:dyDescent="0.25">
      <c r="B14" s="156"/>
      <c r="C14" s="144"/>
      <c r="D14" s="144"/>
      <c r="E14" s="144"/>
      <c r="F14" s="144"/>
      <c r="G14" s="144"/>
      <c r="H14" s="156"/>
      <c r="I14" s="144"/>
      <c r="J14" s="144"/>
      <c r="K14" s="144"/>
      <c r="L14" s="144"/>
      <c r="M14" s="144"/>
      <c r="N14" s="144"/>
      <c r="O14" s="144"/>
      <c r="P14" s="144"/>
      <c r="Q14" s="144"/>
      <c r="R14" s="144"/>
      <c r="S14" s="144"/>
      <c r="T14" s="144"/>
      <c r="U14" s="144"/>
      <c r="V14" s="346"/>
      <c r="W14" s="144"/>
    </row>
    <row r="15" spans="2:23" hidden="1" x14ac:dyDescent="0.25">
      <c r="B15" s="156"/>
      <c r="C15" s="144"/>
      <c r="D15" s="144" t="s">
        <v>479</v>
      </c>
      <c r="E15" s="144"/>
      <c r="F15" s="144"/>
      <c r="G15" s="148" t="s">
        <v>461</v>
      </c>
      <c r="H15" s="156"/>
      <c r="I15" s="144"/>
      <c r="J15" s="144"/>
      <c r="K15" s="144"/>
      <c r="L15" s="144"/>
      <c r="M15" s="144"/>
      <c r="N15" s="144"/>
      <c r="O15" s="144"/>
      <c r="P15" s="144"/>
      <c r="Q15" s="144"/>
      <c r="R15" s="144"/>
      <c r="S15" s="144"/>
      <c r="T15" s="144"/>
      <c r="U15" s="144"/>
      <c r="V15" s="346"/>
      <c r="W15" s="144"/>
    </row>
    <row r="16" spans="2:23" x14ac:dyDescent="0.25">
      <c r="B16" s="156"/>
      <c r="C16" s="144"/>
      <c r="D16" s="144"/>
      <c r="E16" s="144"/>
      <c r="F16" s="144"/>
      <c r="G16" s="144"/>
      <c r="H16" s="144"/>
      <c r="I16" s="144"/>
      <c r="J16" s="144"/>
      <c r="K16" s="144"/>
      <c r="L16" s="144"/>
      <c r="M16" s="144"/>
      <c r="N16" s="144"/>
      <c r="O16" s="144"/>
      <c r="P16" s="144"/>
      <c r="Q16" s="144"/>
      <c r="R16" s="144"/>
      <c r="S16" s="144"/>
      <c r="T16" s="144"/>
      <c r="U16" s="144"/>
      <c r="V16" s="346"/>
      <c r="W16" s="144"/>
    </row>
    <row r="17" spans="2:23" ht="18.75" x14ac:dyDescent="0.3">
      <c r="B17" s="156"/>
      <c r="C17" s="145" t="s">
        <v>460</v>
      </c>
      <c r="D17" s="144"/>
      <c r="E17" s="144"/>
      <c r="F17" s="144"/>
      <c r="G17" s="144"/>
      <c r="H17" s="144"/>
      <c r="I17" s="144"/>
      <c r="J17" s="144"/>
      <c r="K17" s="144"/>
      <c r="L17" s="144"/>
      <c r="M17" s="144"/>
      <c r="N17" s="144"/>
      <c r="O17" s="144"/>
      <c r="P17" s="144"/>
      <c r="Q17" s="144"/>
      <c r="R17" s="144"/>
      <c r="S17" s="144"/>
      <c r="T17" s="144"/>
      <c r="U17" s="144"/>
      <c r="V17" s="346"/>
      <c r="W17" s="144"/>
    </row>
    <row r="18" spans="2:23" ht="7.5" customHeight="1" x14ac:dyDescent="0.25">
      <c r="B18" s="156"/>
      <c r="C18" s="144"/>
      <c r="D18" s="147"/>
      <c r="E18" s="144"/>
      <c r="F18" s="144"/>
      <c r="G18" s="144"/>
      <c r="H18" s="144"/>
      <c r="I18" s="144"/>
      <c r="J18" s="144"/>
      <c r="K18" s="144"/>
      <c r="L18" s="144"/>
      <c r="M18" s="144"/>
      <c r="N18" s="144"/>
      <c r="O18" s="144"/>
      <c r="P18" s="144"/>
      <c r="Q18" s="144"/>
      <c r="R18" s="144"/>
      <c r="S18" s="144"/>
      <c r="T18" s="144"/>
      <c r="U18" s="144"/>
      <c r="V18" s="346"/>
      <c r="W18" s="144"/>
    </row>
    <row r="19" spans="2:23" x14ac:dyDescent="0.25">
      <c r="B19" s="156"/>
      <c r="C19" s="144"/>
      <c r="D19" s="672" t="s">
        <v>482</v>
      </c>
      <c r="E19" s="672"/>
      <c r="F19" s="672"/>
      <c r="G19" s="672"/>
      <c r="H19" s="672"/>
      <c r="I19" s="672"/>
      <c r="J19" s="672"/>
      <c r="K19" s="672"/>
      <c r="L19" s="672"/>
      <c r="M19" s="672"/>
      <c r="N19" s="672"/>
      <c r="O19" s="672"/>
      <c r="P19" s="672"/>
      <c r="Q19" s="672"/>
      <c r="R19" s="672"/>
      <c r="S19" s="672"/>
      <c r="T19" s="672"/>
      <c r="U19" s="672"/>
      <c r="V19" s="672"/>
      <c r="W19" s="144"/>
    </row>
    <row r="20" spans="2:23" x14ac:dyDescent="0.25">
      <c r="B20" s="156"/>
      <c r="C20" s="144"/>
      <c r="D20" s="672"/>
      <c r="E20" s="672"/>
      <c r="F20" s="672"/>
      <c r="G20" s="672"/>
      <c r="H20" s="672"/>
      <c r="I20" s="672"/>
      <c r="J20" s="672"/>
      <c r="K20" s="672"/>
      <c r="L20" s="672"/>
      <c r="M20" s="672"/>
      <c r="N20" s="672"/>
      <c r="O20" s="672"/>
      <c r="P20" s="672"/>
      <c r="Q20" s="672"/>
      <c r="R20" s="672"/>
      <c r="S20" s="672"/>
      <c r="T20" s="672"/>
      <c r="U20" s="672"/>
      <c r="V20" s="672"/>
      <c r="W20" s="144"/>
    </row>
    <row r="21" spans="2:23" s="154" customFormat="1" ht="7.5" customHeight="1" x14ac:dyDescent="0.25">
      <c r="B21" s="158"/>
      <c r="C21" s="144"/>
      <c r="D21" s="150"/>
      <c r="E21" s="150"/>
      <c r="F21" s="150"/>
      <c r="G21" s="150"/>
      <c r="H21" s="150"/>
      <c r="I21" s="150"/>
      <c r="J21" s="150"/>
      <c r="K21" s="150"/>
      <c r="L21" s="150"/>
      <c r="M21" s="150"/>
      <c r="N21" s="150"/>
      <c r="O21" s="150"/>
      <c r="P21" s="150"/>
      <c r="Q21" s="150"/>
      <c r="R21" s="150"/>
      <c r="S21" s="150"/>
      <c r="T21" s="150"/>
      <c r="U21" s="150"/>
      <c r="V21" s="559"/>
      <c r="W21" s="144"/>
    </row>
    <row r="22" spans="2:23" ht="15.75" x14ac:dyDescent="0.25">
      <c r="B22" s="156"/>
      <c r="C22" s="144"/>
      <c r="D22" s="673" t="s">
        <v>607</v>
      </c>
      <c r="E22" s="673"/>
      <c r="F22" s="673"/>
      <c r="G22" s="673"/>
      <c r="H22" s="673"/>
      <c r="I22" s="673"/>
      <c r="J22" s="673"/>
      <c r="K22" s="673"/>
      <c r="L22" s="673"/>
      <c r="M22" s="673"/>
      <c r="N22" s="673"/>
      <c r="O22" s="673"/>
      <c r="P22" s="673"/>
      <c r="Q22" s="673"/>
      <c r="R22" s="673"/>
      <c r="S22" s="673"/>
      <c r="T22" s="673"/>
      <c r="U22" s="673"/>
      <c r="V22" s="673"/>
      <c r="W22" s="144"/>
    </row>
    <row r="23" spans="2:23" ht="15.75" x14ac:dyDescent="0.25">
      <c r="B23" s="156"/>
      <c r="C23" s="144"/>
      <c r="D23" s="147"/>
      <c r="E23" s="144"/>
      <c r="F23" s="144"/>
      <c r="G23" s="144"/>
      <c r="H23" s="144"/>
      <c r="I23" s="144"/>
      <c r="J23" s="144"/>
      <c r="K23" s="144"/>
      <c r="L23" s="144"/>
      <c r="M23" s="144"/>
      <c r="N23" s="144"/>
      <c r="O23" s="144"/>
      <c r="P23" s="144"/>
      <c r="Q23" s="144"/>
      <c r="R23" s="144"/>
      <c r="S23" s="144"/>
      <c r="T23" s="144"/>
      <c r="U23" s="144"/>
      <c r="V23" s="346"/>
      <c r="W23" s="144"/>
    </row>
    <row r="24" spans="2:23" s="154" customFormat="1" x14ac:dyDescent="0.25">
      <c r="B24" s="158"/>
      <c r="C24" s="144"/>
      <c r="D24" s="146" t="s">
        <v>463</v>
      </c>
      <c r="E24" s="144"/>
      <c r="F24" s="144"/>
      <c r="G24" s="144"/>
      <c r="H24" s="144"/>
      <c r="I24" s="144"/>
      <c r="J24" s="144"/>
      <c r="K24" s="144"/>
      <c r="L24" s="144"/>
      <c r="M24" s="144"/>
      <c r="N24" s="144"/>
      <c r="O24" s="144"/>
      <c r="P24" s="144"/>
      <c r="Q24" s="144"/>
      <c r="R24" s="144"/>
      <c r="S24" s="144"/>
      <c r="T24" s="144"/>
      <c r="U24" s="144"/>
      <c r="V24" s="346"/>
      <c r="W24" s="144"/>
    </row>
    <row r="25" spans="2:23" ht="7.5" customHeight="1" x14ac:dyDescent="0.25">
      <c r="B25" s="156"/>
      <c r="C25" s="144"/>
      <c r="D25" s="144"/>
      <c r="E25" s="144"/>
      <c r="F25" s="144"/>
      <c r="G25" s="144"/>
      <c r="H25" s="144"/>
      <c r="I25" s="144"/>
      <c r="J25" s="144"/>
      <c r="K25" s="144"/>
      <c r="L25" s="144"/>
      <c r="M25" s="144"/>
      <c r="N25" s="144"/>
      <c r="O25" s="144"/>
      <c r="P25" s="144"/>
      <c r="Q25" s="144"/>
      <c r="R25" s="144"/>
      <c r="S25" s="144"/>
      <c r="T25" s="144"/>
      <c r="U25" s="144"/>
      <c r="V25" s="346"/>
      <c r="W25" s="144"/>
    </row>
    <row r="26" spans="2:23" x14ac:dyDescent="0.25">
      <c r="B26" s="156"/>
      <c r="C26" s="144"/>
      <c r="D26" s="144">
        <v>1</v>
      </c>
      <c r="E26" s="674" t="s">
        <v>464</v>
      </c>
      <c r="F26" s="674"/>
      <c r="G26" s="144"/>
      <c r="H26" s="675" t="s">
        <v>480</v>
      </c>
      <c r="I26" s="675"/>
      <c r="J26" s="675"/>
      <c r="K26" s="675"/>
      <c r="L26" s="675"/>
      <c r="M26" s="675"/>
      <c r="N26" s="675"/>
      <c r="O26" s="675"/>
      <c r="P26" s="675"/>
      <c r="Q26" s="675"/>
      <c r="R26" s="675"/>
      <c r="S26" s="675"/>
      <c r="T26" s="675"/>
      <c r="U26" s="675"/>
      <c r="V26" s="346"/>
      <c r="W26" s="144"/>
    </row>
    <row r="27" spans="2:23" ht="7.5" customHeight="1" x14ac:dyDescent="0.25">
      <c r="B27" s="156"/>
      <c r="C27" s="144"/>
      <c r="D27" s="144"/>
      <c r="E27" s="144"/>
      <c r="F27" s="144"/>
      <c r="G27" s="144"/>
      <c r="H27" s="144"/>
      <c r="I27" s="144"/>
      <c r="J27" s="144"/>
      <c r="K27" s="144"/>
      <c r="L27" s="144"/>
      <c r="M27" s="144"/>
      <c r="N27" s="144"/>
      <c r="O27" s="144"/>
      <c r="P27" s="144"/>
      <c r="Q27" s="144"/>
      <c r="R27" s="144"/>
      <c r="S27" s="144"/>
      <c r="T27" s="144"/>
      <c r="U27" s="144"/>
      <c r="V27" s="346"/>
      <c r="W27" s="144"/>
    </row>
    <row r="28" spans="2:23" x14ac:dyDescent="0.25">
      <c r="B28" s="156"/>
      <c r="C28" s="144"/>
      <c r="D28" s="144">
        <v>2</v>
      </c>
      <c r="E28" s="676" t="s">
        <v>465</v>
      </c>
      <c r="F28" s="676"/>
      <c r="G28" s="144"/>
      <c r="H28" s="670" t="s">
        <v>536</v>
      </c>
      <c r="I28" s="670"/>
      <c r="J28" s="670"/>
      <c r="K28" s="670"/>
      <c r="L28" s="670"/>
      <c r="M28" s="670"/>
      <c r="N28" s="670"/>
      <c r="O28" s="670"/>
      <c r="P28" s="670"/>
      <c r="Q28" s="670"/>
      <c r="R28" s="670"/>
      <c r="S28" s="670"/>
      <c r="T28" s="670"/>
      <c r="U28" s="670"/>
      <c r="V28" s="346"/>
      <c r="W28" s="144"/>
    </row>
    <row r="29" spans="2:23" x14ac:dyDescent="0.25">
      <c r="B29" s="156"/>
      <c r="C29" s="144"/>
      <c r="D29" s="144">
        <v>3</v>
      </c>
      <c r="E29" s="676" t="s">
        <v>466</v>
      </c>
      <c r="F29" s="676"/>
      <c r="G29" s="144"/>
      <c r="H29" s="670"/>
      <c r="I29" s="670"/>
      <c r="J29" s="670"/>
      <c r="K29" s="670"/>
      <c r="L29" s="670"/>
      <c r="M29" s="670"/>
      <c r="N29" s="670"/>
      <c r="O29" s="670"/>
      <c r="P29" s="670"/>
      <c r="Q29" s="670"/>
      <c r="R29" s="670"/>
      <c r="S29" s="670"/>
      <c r="T29" s="670"/>
      <c r="U29" s="670"/>
      <c r="V29" s="346"/>
      <c r="W29" s="144"/>
    </row>
    <row r="30" spans="2:23" x14ac:dyDescent="0.25">
      <c r="B30" s="156"/>
      <c r="C30" s="144"/>
      <c r="D30" s="144">
        <v>4</v>
      </c>
      <c r="E30" s="676" t="s">
        <v>470</v>
      </c>
      <c r="F30" s="676"/>
      <c r="G30" s="144"/>
      <c r="H30" s="670"/>
      <c r="I30" s="670"/>
      <c r="J30" s="670"/>
      <c r="K30" s="670"/>
      <c r="L30" s="670"/>
      <c r="M30" s="670"/>
      <c r="N30" s="670"/>
      <c r="O30" s="670"/>
      <c r="P30" s="670"/>
      <c r="Q30" s="670"/>
      <c r="R30" s="670"/>
      <c r="S30" s="670"/>
      <c r="T30" s="670"/>
      <c r="U30" s="670"/>
      <c r="V30" s="346"/>
      <c r="W30" s="144"/>
    </row>
    <row r="31" spans="2:23" x14ac:dyDescent="0.25">
      <c r="B31" s="156"/>
      <c r="C31" s="144"/>
      <c r="D31" s="144">
        <v>5</v>
      </c>
      <c r="E31" s="676" t="s">
        <v>467</v>
      </c>
      <c r="F31" s="676"/>
      <c r="G31" s="144"/>
      <c r="H31" s="670"/>
      <c r="I31" s="670"/>
      <c r="J31" s="670"/>
      <c r="K31" s="670"/>
      <c r="L31" s="670"/>
      <c r="M31" s="670"/>
      <c r="N31" s="670"/>
      <c r="O31" s="670"/>
      <c r="P31" s="670"/>
      <c r="Q31" s="670"/>
      <c r="R31" s="670"/>
      <c r="S31" s="670"/>
      <c r="T31" s="670"/>
      <c r="U31" s="670"/>
      <c r="V31" s="346"/>
      <c r="W31" s="144"/>
    </row>
    <row r="32" spans="2:23" ht="7.5" customHeight="1" x14ac:dyDescent="0.25">
      <c r="B32" s="156"/>
      <c r="C32" s="144"/>
      <c r="D32" s="144"/>
      <c r="E32" s="144"/>
      <c r="F32" s="144"/>
      <c r="G32" s="144"/>
      <c r="H32" s="144"/>
      <c r="I32" s="144"/>
      <c r="J32" s="144"/>
      <c r="K32" s="144"/>
      <c r="L32" s="144"/>
      <c r="M32" s="144"/>
      <c r="N32" s="144"/>
      <c r="O32" s="144"/>
      <c r="P32" s="144"/>
      <c r="Q32" s="144"/>
      <c r="R32" s="144"/>
      <c r="S32" s="144"/>
      <c r="T32" s="144"/>
      <c r="U32" s="144"/>
      <c r="V32" s="346"/>
      <c r="W32" s="144"/>
    </row>
    <row r="33" spans="2:23" x14ac:dyDescent="0.25">
      <c r="B33" s="156"/>
      <c r="C33" s="144"/>
      <c r="D33" s="144">
        <v>6</v>
      </c>
      <c r="E33" s="669" t="s">
        <v>468</v>
      </c>
      <c r="F33" s="669"/>
      <c r="G33" s="144"/>
      <c r="H33" s="670" t="s">
        <v>481</v>
      </c>
      <c r="I33" s="670"/>
      <c r="J33" s="670"/>
      <c r="K33" s="670"/>
      <c r="L33" s="670"/>
      <c r="M33" s="670"/>
      <c r="N33" s="670"/>
      <c r="O33" s="670"/>
      <c r="P33" s="670"/>
      <c r="Q33" s="670"/>
      <c r="R33" s="670"/>
      <c r="S33" s="670"/>
      <c r="T33" s="670"/>
      <c r="U33" s="670"/>
      <c r="V33" s="346"/>
      <c r="W33" s="144"/>
    </row>
    <row r="34" spans="2:23" x14ac:dyDescent="0.25">
      <c r="B34" s="156"/>
      <c r="C34" s="144"/>
      <c r="D34" s="144">
        <v>7</v>
      </c>
      <c r="E34" s="669" t="s">
        <v>469</v>
      </c>
      <c r="F34" s="669"/>
      <c r="G34" s="144"/>
      <c r="H34" s="670"/>
      <c r="I34" s="670"/>
      <c r="J34" s="670"/>
      <c r="K34" s="670"/>
      <c r="L34" s="670"/>
      <c r="M34" s="670"/>
      <c r="N34" s="670"/>
      <c r="O34" s="670"/>
      <c r="P34" s="670"/>
      <c r="Q34" s="670"/>
      <c r="R34" s="670"/>
      <c r="S34" s="670"/>
      <c r="T34" s="670"/>
      <c r="U34" s="670"/>
      <c r="V34" s="346"/>
      <c r="W34" s="144"/>
    </row>
    <row r="35" spans="2:23" x14ac:dyDescent="0.25">
      <c r="B35" s="156"/>
      <c r="C35" s="144"/>
      <c r="D35" s="144">
        <v>8</v>
      </c>
      <c r="E35" s="669" t="s">
        <v>471</v>
      </c>
      <c r="F35" s="669"/>
      <c r="G35" s="144"/>
      <c r="H35" s="670"/>
      <c r="I35" s="670"/>
      <c r="J35" s="670"/>
      <c r="K35" s="670"/>
      <c r="L35" s="670"/>
      <c r="M35" s="670"/>
      <c r="N35" s="670"/>
      <c r="O35" s="670"/>
      <c r="P35" s="670"/>
      <c r="Q35" s="670"/>
      <c r="R35" s="670"/>
      <c r="S35" s="670"/>
      <c r="T35" s="670"/>
      <c r="U35" s="670"/>
      <c r="V35" s="346"/>
      <c r="W35" s="144"/>
    </row>
    <row r="36" spans="2:23" ht="7.5" customHeight="1" x14ac:dyDescent="0.25">
      <c r="B36" s="156"/>
      <c r="C36" s="144"/>
      <c r="D36" s="144"/>
      <c r="E36" s="144"/>
      <c r="F36" s="144"/>
      <c r="G36" s="144"/>
      <c r="H36" s="144"/>
      <c r="I36" s="144"/>
      <c r="J36" s="144"/>
      <c r="K36" s="144"/>
      <c r="L36" s="144"/>
      <c r="M36" s="144"/>
      <c r="N36" s="144"/>
      <c r="O36" s="144"/>
      <c r="P36" s="144"/>
      <c r="Q36" s="144"/>
      <c r="R36" s="144"/>
      <c r="S36" s="144"/>
      <c r="T36" s="144"/>
      <c r="U36" s="144"/>
      <c r="V36" s="346"/>
      <c r="W36" s="144"/>
    </row>
    <row r="37" spans="2:23" x14ac:dyDescent="0.25">
      <c r="B37" s="156"/>
      <c r="C37" s="144"/>
      <c r="D37" s="144">
        <v>9</v>
      </c>
      <c r="E37" s="671" t="s">
        <v>472</v>
      </c>
      <c r="F37" s="671"/>
      <c r="G37" s="144"/>
      <c r="H37" s="670" t="s">
        <v>608</v>
      </c>
      <c r="I37" s="670"/>
      <c r="J37" s="670"/>
      <c r="K37" s="670"/>
      <c r="L37" s="670"/>
      <c r="M37" s="670"/>
      <c r="N37" s="670"/>
      <c r="O37" s="670"/>
      <c r="P37" s="670"/>
      <c r="Q37" s="670"/>
      <c r="R37" s="670"/>
      <c r="S37" s="670"/>
      <c r="T37" s="670"/>
      <c r="U37" s="670"/>
      <c r="V37" s="346"/>
      <c r="W37" s="144"/>
    </row>
    <row r="38" spans="2:23" x14ac:dyDescent="0.25">
      <c r="B38" s="156"/>
      <c r="C38" s="144"/>
      <c r="D38" s="144">
        <v>10</v>
      </c>
      <c r="E38" s="671" t="s">
        <v>473</v>
      </c>
      <c r="F38" s="671"/>
      <c r="G38" s="144"/>
      <c r="H38" s="670"/>
      <c r="I38" s="670"/>
      <c r="J38" s="670"/>
      <c r="K38" s="670"/>
      <c r="L38" s="670"/>
      <c r="M38" s="670"/>
      <c r="N38" s="670"/>
      <c r="O38" s="670"/>
      <c r="P38" s="670"/>
      <c r="Q38" s="670"/>
      <c r="R38" s="670"/>
      <c r="S38" s="670"/>
      <c r="T38" s="670"/>
      <c r="U38" s="670"/>
      <c r="V38" s="346"/>
      <c r="W38" s="144"/>
    </row>
    <row r="39" spans="2:23" x14ac:dyDescent="0.25">
      <c r="B39" s="156"/>
      <c r="C39" s="144"/>
      <c r="D39" s="144"/>
      <c r="E39" s="144"/>
      <c r="F39" s="144"/>
      <c r="G39" s="144"/>
      <c r="H39" s="144"/>
      <c r="I39" s="144"/>
      <c r="J39" s="144"/>
      <c r="K39" s="144"/>
      <c r="L39" s="144"/>
      <c r="M39" s="144"/>
      <c r="N39" s="144"/>
      <c r="O39" s="144"/>
      <c r="P39" s="144"/>
      <c r="Q39" s="144"/>
      <c r="R39" s="144"/>
      <c r="S39" s="144"/>
      <c r="T39" s="144"/>
      <c r="U39" s="144"/>
      <c r="V39" s="346"/>
      <c r="W39" s="144"/>
    </row>
    <row r="40" spans="2:23" x14ac:dyDescent="0.25">
      <c r="B40" s="156"/>
      <c r="C40" s="144"/>
      <c r="D40" s="146" t="s">
        <v>474</v>
      </c>
      <c r="E40" s="144"/>
      <c r="F40" s="144"/>
      <c r="G40" s="144"/>
      <c r="H40" s="144"/>
      <c r="I40" s="144"/>
      <c r="J40" s="144"/>
      <c r="K40" s="144"/>
      <c r="L40" s="144"/>
      <c r="M40" s="144"/>
      <c r="N40" s="144"/>
      <c r="O40" s="144"/>
      <c r="P40" s="144"/>
      <c r="Q40" s="144"/>
      <c r="R40" s="144"/>
      <c r="S40" s="144"/>
      <c r="T40" s="144"/>
      <c r="U40" s="144"/>
      <c r="V40" s="346"/>
      <c r="W40" s="144"/>
    </row>
    <row r="41" spans="2:23" ht="7.5" customHeight="1" x14ac:dyDescent="0.25">
      <c r="B41" s="156"/>
      <c r="C41" s="144"/>
      <c r="D41" s="144"/>
      <c r="E41" s="144"/>
      <c r="F41" s="144"/>
      <c r="G41" s="144"/>
      <c r="H41" s="144"/>
      <c r="I41" s="144"/>
      <c r="J41" s="144"/>
      <c r="K41" s="144"/>
      <c r="L41" s="144"/>
      <c r="M41" s="144"/>
      <c r="N41" s="144"/>
      <c r="O41" s="144"/>
      <c r="P41" s="144"/>
      <c r="Q41" s="144"/>
      <c r="R41" s="144"/>
      <c r="S41" s="144"/>
      <c r="T41" s="144"/>
      <c r="U41" s="144"/>
      <c r="V41" s="346"/>
      <c r="W41" s="144"/>
    </row>
    <row r="42" spans="2:23" x14ac:dyDescent="0.25">
      <c r="B42" s="156"/>
      <c r="C42" s="144"/>
      <c r="D42" s="144"/>
      <c r="E42" s="680" t="s">
        <v>483</v>
      </c>
      <c r="F42" s="680"/>
      <c r="G42" s="156"/>
      <c r="H42" s="144" t="s">
        <v>488</v>
      </c>
      <c r="I42" s="144"/>
      <c r="J42" s="144"/>
      <c r="K42" s="144"/>
      <c r="L42" s="144"/>
      <c r="M42" s="144"/>
      <c r="N42" s="144"/>
      <c r="O42" s="144"/>
      <c r="P42" s="144"/>
      <c r="Q42" s="144"/>
      <c r="R42" s="144"/>
      <c r="S42" s="144"/>
      <c r="T42" s="144"/>
      <c r="U42" s="144"/>
      <c r="V42" s="346"/>
      <c r="W42" s="144"/>
    </row>
    <row r="43" spans="2:23" ht="7.5" customHeight="1" x14ac:dyDescent="0.25">
      <c r="B43" s="156"/>
      <c r="C43" s="144"/>
      <c r="D43" s="144"/>
      <c r="E43"/>
      <c r="F43" s="144"/>
      <c r="G43" s="156"/>
      <c r="H43" s="144"/>
      <c r="I43" s="144"/>
      <c r="J43" s="144"/>
      <c r="K43" s="144"/>
      <c r="L43" s="144"/>
      <c r="M43" s="144"/>
      <c r="N43" s="144"/>
      <c r="O43" s="144"/>
      <c r="P43" s="144"/>
      <c r="Q43" s="144"/>
      <c r="R43" s="144"/>
      <c r="S43" s="144"/>
      <c r="T43" s="144"/>
      <c r="U43" s="144"/>
      <c r="V43" s="346"/>
      <c r="W43" s="144"/>
    </row>
    <row r="44" spans="2:23" x14ac:dyDescent="0.25">
      <c r="B44" s="156"/>
      <c r="C44" s="144"/>
      <c r="D44" s="144"/>
      <c r="E44" s="681" t="s">
        <v>484</v>
      </c>
      <c r="F44" s="681"/>
      <c r="G44" s="156"/>
      <c r="H44" s="144" t="s">
        <v>537</v>
      </c>
      <c r="I44" s="144"/>
      <c r="J44" s="144"/>
      <c r="K44" s="144"/>
      <c r="L44" s="144"/>
      <c r="M44" s="144"/>
      <c r="N44" s="144"/>
      <c r="O44" s="144"/>
      <c r="P44" s="144"/>
      <c r="Q44" s="144"/>
      <c r="R44" s="144"/>
      <c r="S44" s="144"/>
      <c r="T44" s="144"/>
      <c r="U44" s="144"/>
      <c r="V44" s="346"/>
      <c r="W44" s="144"/>
    </row>
    <row r="45" spans="2:23" ht="7.5" customHeight="1" thickBot="1" x14ac:dyDescent="0.3">
      <c r="B45" s="156"/>
      <c r="C45" s="144"/>
      <c r="D45" s="144"/>
      <c r="E45"/>
      <c r="F45" s="144"/>
      <c r="G45" s="156"/>
      <c r="H45" s="144"/>
      <c r="I45" s="144"/>
      <c r="J45" s="144"/>
      <c r="K45" s="144"/>
      <c r="L45" s="144"/>
      <c r="M45" s="144"/>
      <c r="N45" s="144"/>
      <c r="O45" s="144"/>
      <c r="P45" s="144"/>
      <c r="Q45" s="144"/>
      <c r="R45" s="144"/>
      <c r="S45" s="144"/>
      <c r="T45" s="144"/>
      <c r="U45" s="144"/>
      <c r="V45" s="346"/>
      <c r="W45" s="144"/>
    </row>
    <row r="46" spans="2:23" ht="16.5" thickTop="1" thickBot="1" x14ac:dyDescent="0.3">
      <c r="B46" s="156"/>
      <c r="C46" s="144"/>
      <c r="D46" s="144"/>
      <c r="E46" s="682" t="s">
        <v>485</v>
      </c>
      <c r="F46" s="682"/>
      <c r="G46" s="156"/>
      <c r="H46" s="144" t="s">
        <v>486</v>
      </c>
      <c r="I46" s="144"/>
      <c r="J46" s="144"/>
      <c r="K46" s="144"/>
      <c r="L46" s="144"/>
      <c r="M46" s="144"/>
      <c r="N46" s="144"/>
      <c r="O46" s="144"/>
      <c r="P46" s="144"/>
      <c r="Q46" s="144"/>
      <c r="R46" s="144"/>
      <c r="S46" s="144"/>
      <c r="T46" s="144"/>
      <c r="U46" s="144"/>
      <c r="V46" s="346"/>
      <c r="W46" s="144"/>
    </row>
    <row r="47" spans="2:23" ht="7.5" customHeight="1" thickTop="1" x14ac:dyDescent="0.25">
      <c r="B47" s="156"/>
      <c r="C47" s="144"/>
      <c r="D47" s="144"/>
      <c r="E47"/>
      <c r="F47" s="144"/>
      <c r="G47" s="156"/>
      <c r="H47" s="144"/>
      <c r="I47" s="144"/>
      <c r="J47" s="144"/>
      <c r="K47" s="144"/>
      <c r="L47" s="144"/>
      <c r="M47" s="144"/>
      <c r="N47" s="144"/>
      <c r="O47" s="144"/>
      <c r="P47" s="144"/>
      <c r="Q47" s="144"/>
      <c r="R47" s="144"/>
      <c r="S47" s="144"/>
      <c r="T47" s="144"/>
      <c r="U47" s="144"/>
      <c r="V47" s="346"/>
      <c r="W47" s="144"/>
    </row>
    <row r="48" spans="2:23" x14ac:dyDescent="0.25">
      <c r="B48" s="156"/>
      <c r="C48" s="144"/>
      <c r="D48" s="144"/>
      <c r="E48" s="693" t="s">
        <v>489</v>
      </c>
      <c r="F48" s="693"/>
      <c r="G48" s="156"/>
      <c r="H48" s="144" t="s">
        <v>538</v>
      </c>
      <c r="I48" s="144"/>
      <c r="J48" s="144"/>
      <c r="K48" s="144"/>
      <c r="L48" s="144"/>
      <c r="M48" s="144"/>
      <c r="N48" s="144"/>
      <c r="O48" s="144"/>
      <c r="P48" s="144"/>
      <c r="Q48" s="144"/>
      <c r="R48" s="144"/>
      <c r="S48" s="144"/>
      <c r="T48" s="144"/>
      <c r="U48" s="144"/>
      <c r="V48" s="346"/>
      <c r="W48" s="144"/>
    </row>
    <row r="49" spans="2:23" ht="7.5" customHeight="1" x14ac:dyDescent="0.25">
      <c r="B49" s="156"/>
      <c r="C49" s="144"/>
      <c r="D49" s="144"/>
      <c r="E49"/>
      <c r="F49" s="144"/>
      <c r="G49" s="156"/>
      <c r="H49" s="144"/>
      <c r="I49" s="144"/>
      <c r="J49" s="144"/>
      <c r="K49" s="144"/>
      <c r="L49" s="144"/>
      <c r="M49" s="144"/>
      <c r="N49" s="144"/>
      <c r="O49" s="144"/>
      <c r="P49" s="144"/>
      <c r="Q49" s="144"/>
      <c r="R49" s="144"/>
      <c r="S49" s="144"/>
      <c r="T49" s="144"/>
      <c r="U49" s="144"/>
      <c r="V49" s="346"/>
      <c r="W49" s="144"/>
    </row>
    <row r="50" spans="2:23" ht="15.75" thickBot="1" x14ac:dyDescent="0.3">
      <c r="B50" s="156"/>
      <c r="C50" s="144"/>
      <c r="D50" s="144"/>
      <c r="E50" s="692" t="s">
        <v>487</v>
      </c>
      <c r="F50" s="692"/>
      <c r="G50" s="156"/>
      <c r="H50" s="144" t="s">
        <v>539</v>
      </c>
      <c r="I50" s="144"/>
      <c r="J50" s="144"/>
      <c r="K50" s="144"/>
      <c r="L50" s="144"/>
      <c r="M50" s="144"/>
      <c r="N50" s="144"/>
      <c r="O50" s="144"/>
      <c r="P50" s="144"/>
      <c r="Q50" s="144"/>
      <c r="R50" s="144"/>
      <c r="S50" s="144"/>
      <c r="T50" s="144"/>
      <c r="U50" s="144"/>
      <c r="V50" s="346"/>
      <c r="W50" s="144"/>
    </row>
    <row r="51" spans="2:23" ht="7.5" customHeight="1" thickTop="1" x14ac:dyDescent="0.25">
      <c r="B51" s="156"/>
      <c r="C51" s="144"/>
      <c r="D51" s="144"/>
      <c r="E51"/>
      <c r="F51" s="144"/>
      <c r="G51" s="156"/>
      <c r="H51" s="144"/>
      <c r="I51" s="144"/>
      <c r="J51" s="144"/>
      <c r="K51" s="144"/>
      <c r="L51" s="144"/>
      <c r="M51" s="144"/>
      <c r="N51" s="144"/>
      <c r="O51" s="144"/>
      <c r="P51" s="144"/>
      <c r="Q51" s="144"/>
      <c r="R51" s="144"/>
      <c r="S51" s="144"/>
      <c r="T51" s="144"/>
      <c r="U51" s="144"/>
      <c r="V51" s="346"/>
      <c r="W51" s="144"/>
    </row>
    <row r="52" spans="2:23" x14ac:dyDescent="0.25">
      <c r="B52" s="156"/>
      <c r="C52" s="144"/>
      <c r="D52" s="144"/>
      <c r="E52" s="691" t="s">
        <v>490</v>
      </c>
      <c r="F52" s="691"/>
      <c r="G52" s="156"/>
      <c r="H52" s="144" t="s">
        <v>540</v>
      </c>
      <c r="I52" s="144"/>
      <c r="J52" s="144"/>
      <c r="K52" s="144"/>
      <c r="L52" s="144"/>
      <c r="M52" s="144"/>
      <c r="N52" s="144"/>
      <c r="O52" s="144"/>
      <c r="P52" s="144"/>
      <c r="Q52" s="144"/>
      <c r="R52" s="144"/>
      <c r="S52" s="144"/>
      <c r="T52" s="144"/>
      <c r="U52" s="144"/>
      <c r="V52" s="346"/>
      <c r="W52" s="144"/>
    </row>
    <row r="53" spans="2:23" ht="7.5" customHeight="1" x14ac:dyDescent="0.25">
      <c r="B53" s="156"/>
      <c r="C53" s="144"/>
      <c r="D53" s="144"/>
      <c r="E53"/>
      <c r="F53" s="144"/>
      <c r="G53" s="156"/>
      <c r="H53" s="144"/>
      <c r="I53" s="144"/>
      <c r="J53" s="144"/>
      <c r="K53" s="144"/>
      <c r="L53" s="144"/>
      <c r="M53" s="144"/>
      <c r="N53" s="144"/>
      <c r="O53" s="144"/>
      <c r="P53" s="144"/>
      <c r="Q53" s="144"/>
      <c r="R53" s="144"/>
      <c r="S53" s="144"/>
      <c r="T53" s="144"/>
      <c r="U53" s="144"/>
      <c r="V53" s="346"/>
      <c r="W53" s="144"/>
    </row>
    <row r="54" spans="2:23" x14ac:dyDescent="0.25">
      <c r="B54" s="156"/>
      <c r="C54" s="144"/>
      <c r="D54" s="144"/>
      <c r="E54" s="690" t="s">
        <v>475</v>
      </c>
      <c r="F54" s="690"/>
      <c r="G54" s="156"/>
      <c r="H54" s="144" t="s">
        <v>541</v>
      </c>
      <c r="I54" s="144"/>
      <c r="J54" s="144"/>
      <c r="K54" s="144"/>
      <c r="L54" s="144"/>
      <c r="M54" s="144"/>
      <c r="N54" s="144"/>
      <c r="O54" s="144"/>
      <c r="P54" s="144"/>
      <c r="Q54" s="144"/>
      <c r="R54" s="144"/>
      <c r="S54" s="144"/>
      <c r="T54" s="144"/>
      <c r="U54" s="144"/>
      <c r="V54" s="346"/>
      <c r="W54" s="144"/>
    </row>
    <row r="55" spans="2:23" ht="7.5" customHeight="1" x14ac:dyDescent="0.25">
      <c r="B55" s="156"/>
      <c r="C55" s="144"/>
      <c r="D55" s="144"/>
      <c r="E55" s="144"/>
      <c r="F55" s="144"/>
      <c r="G55" s="156"/>
      <c r="H55" s="144"/>
      <c r="I55" s="144"/>
      <c r="J55" s="144"/>
      <c r="K55" s="144"/>
      <c r="L55" s="144"/>
      <c r="M55" s="144"/>
      <c r="N55" s="144"/>
      <c r="O55" s="144"/>
      <c r="P55" s="144"/>
      <c r="Q55" s="144"/>
      <c r="R55" s="144"/>
      <c r="S55" s="144"/>
      <c r="T55" s="144"/>
      <c r="U55" s="144"/>
      <c r="V55" s="346"/>
      <c r="W55" s="144"/>
    </row>
    <row r="56" spans="2:23" x14ac:dyDescent="0.25">
      <c r="B56" s="156"/>
      <c r="C56" s="144"/>
      <c r="D56" s="144"/>
      <c r="E56" s="144"/>
      <c r="F56" s="144"/>
      <c r="G56" s="144"/>
      <c r="H56" s="144"/>
      <c r="I56" s="144"/>
      <c r="J56" s="144"/>
      <c r="K56" s="144"/>
      <c r="L56" s="144"/>
      <c r="M56" s="144"/>
      <c r="N56" s="144"/>
      <c r="O56" s="144"/>
      <c r="P56" s="144"/>
      <c r="Q56" s="144"/>
      <c r="R56" s="144"/>
      <c r="S56" s="144"/>
      <c r="T56" s="144"/>
      <c r="U56" s="144"/>
      <c r="V56" s="346"/>
      <c r="W56" s="144"/>
    </row>
    <row r="57" spans="2:23" x14ac:dyDescent="0.25">
      <c r="B57" s="156"/>
      <c r="C57" s="144"/>
      <c r="D57" s="146" t="s">
        <v>495</v>
      </c>
      <c r="E57" s="144"/>
      <c r="F57" s="144"/>
      <c r="G57" s="144"/>
      <c r="H57" s="144"/>
      <c r="I57" s="144"/>
      <c r="J57" s="144"/>
      <c r="K57" s="144"/>
      <c r="L57" s="144"/>
      <c r="M57" s="144"/>
      <c r="N57" s="144"/>
      <c r="O57" s="144"/>
      <c r="P57" s="144"/>
      <c r="Q57" s="144"/>
      <c r="R57" s="144"/>
      <c r="S57" s="144"/>
      <c r="T57" s="144"/>
      <c r="U57" s="144"/>
      <c r="V57" s="346"/>
      <c r="W57" s="144"/>
    </row>
    <row r="58" spans="2:23" ht="8.25" customHeight="1" x14ac:dyDescent="0.25">
      <c r="B58" s="156"/>
      <c r="C58" s="144"/>
      <c r="D58" s="144"/>
      <c r="E58" s="144"/>
      <c r="F58" s="144"/>
      <c r="G58" s="144"/>
      <c r="H58" s="144"/>
      <c r="I58" s="144"/>
      <c r="J58" s="144"/>
      <c r="K58" s="144"/>
      <c r="L58" s="144"/>
      <c r="M58" s="144"/>
      <c r="N58" s="144"/>
      <c r="O58" s="144"/>
      <c r="P58" s="144"/>
      <c r="Q58" s="144"/>
      <c r="R58" s="144"/>
      <c r="S58" s="144"/>
      <c r="T58" s="144"/>
      <c r="U58" s="144"/>
      <c r="V58" s="346"/>
      <c r="W58" s="144"/>
    </row>
    <row r="59" spans="2:23" ht="31.5" customHeight="1" x14ac:dyDescent="0.25">
      <c r="B59" s="156"/>
      <c r="C59" s="144"/>
      <c r="D59" s="162" t="s">
        <v>491</v>
      </c>
      <c r="E59" s="689" t="s">
        <v>500</v>
      </c>
      <c r="F59" s="689"/>
      <c r="G59" s="689"/>
      <c r="H59" s="689"/>
      <c r="I59" s="689"/>
      <c r="J59" s="689"/>
      <c r="K59" s="689"/>
      <c r="L59" s="689"/>
      <c r="M59" s="689"/>
      <c r="N59" s="689"/>
      <c r="O59" s="689"/>
      <c r="P59" s="689"/>
      <c r="Q59" s="689"/>
      <c r="R59" s="689"/>
      <c r="S59" s="689"/>
      <c r="T59" s="689"/>
      <c r="U59" s="689"/>
      <c r="V59" s="689"/>
      <c r="W59" s="144"/>
    </row>
    <row r="60" spans="2:23" ht="15" customHeight="1" x14ac:dyDescent="0.25">
      <c r="B60" s="156"/>
      <c r="C60" s="144"/>
      <c r="D60" s="162" t="s">
        <v>492</v>
      </c>
      <c r="E60" s="689" t="s">
        <v>494</v>
      </c>
      <c r="F60" s="689"/>
      <c r="G60" s="689"/>
      <c r="H60" s="689"/>
      <c r="I60" s="689"/>
      <c r="J60" s="689"/>
      <c r="K60" s="689"/>
      <c r="L60" s="689"/>
      <c r="M60" s="689"/>
      <c r="N60" s="689"/>
      <c r="O60" s="689"/>
      <c r="P60" s="689"/>
      <c r="Q60" s="689"/>
      <c r="R60" s="689"/>
      <c r="S60" s="689"/>
      <c r="T60" s="689"/>
      <c r="U60" s="689"/>
      <c r="V60" s="689"/>
      <c r="W60" s="144"/>
    </row>
    <row r="61" spans="2:23" ht="28.5" customHeight="1" x14ac:dyDescent="0.25">
      <c r="B61" s="156"/>
      <c r="C61" s="144"/>
      <c r="D61" s="162" t="s">
        <v>493</v>
      </c>
      <c r="E61" s="689" t="s">
        <v>609</v>
      </c>
      <c r="F61" s="689"/>
      <c r="G61" s="689"/>
      <c r="H61" s="689"/>
      <c r="I61" s="689"/>
      <c r="J61" s="689"/>
      <c r="K61" s="689"/>
      <c r="L61" s="689"/>
      <c r="M61" s="689"/>
      <c r="N61" s="689"/>
      <c r="O61" s="689"/>
      <c r="P61" s="689"/>
      <c r="Q61" s="689"/>
      <c r="R61" s="689"/>
      <c r="S61" s="689"/>
      <c r="T61" s="689"/>
      <c r="U61" s="689"/>
      <c r="V61" s="689"/>
      <c r="W61" s="144"/>
    </row>
    <row r="62" spans="2:23" ht="6.75" customHeight="1" x14ac:dyDescent="0.25">
      <c r="B62" s="156"/>
      <c r="C62" s="144"/>
      <c r="D62" s="162"/>
      <c r="E62" s="165"/>
      <c r="F62" s="165"/>
      <c r="G62" s="165"/>
      <c r="H62" s="165"/>
      <c r="I62" s="165"/>
      <c r="J62" s="165"/>
      <c r="K62" s="165"/>
      <c r="L62" s="165"/>
      <c r="M62" s="165"/>
      <c r="N62" s="165"/>
      <c r="O62" s="165"/>
      <c r="P62" s="165"/>
      <c r="Q62" s="165"/>
      <c r="R62" s="165"/>
      <c r="S62" s="165"/>
      <c r="T62" s="165"/>
      <c r="U62" s="165"/>
      <c r="V62" s="560"/>
      <c r="W62" s="144"/>
    </row>
    <row r="63" spans="2:23" ht="14.25" customHeight="1" x14ac:dyDescent="0.25">
      <c r="B63" s="156"/>
      <c r="C63" s="144"/>
      <c r="D63" s="162"/>
      <c r="E63" s="165"/>
      <c r="F63" s="165"/>
      <c r="G63" s="165"/>
      <c r="H63" s="165"/>
      <c r="I63" s="165"/>
      <c r="J63" s="165"/>
      <c r="K63" s="165"/>
      <c r="L63" s="165"/>
      <c r="M63" s="165"/>
      <c r="N63" s="165"/>
      <c r="O63" s="165"/>
      <c r="P63" s="165"/>
      <c r="Q63" s="165"/>
      <c r="R63" s="165"/>
      <c r="S63" s="165"/>
      <c r="T63" s="165"/>
      <c r="U63" s="165"/>
      <c r="V63" s="560"/>
      <c r="W63" s="144"/>
    </row>
    <row r="64" spans="2:23" ht="15.75" x14ac:dyDescent="0.25">
      <c r="B64" s="159"/>
      <c r="C64" s="687" t="s">
        <v>496</v>
      </c>
      <c r="D64" s="687"/>
      <c r="E64" s="687"/>
      <c r="F64" s="687"/>
      <c r="G64" s="687"/>
      <c r="H64" s="687"/>
      <c r="I64" s="687"/>
      <c r="J64" s="687"/>
      <c r="K64" s="159"/>
      <c r="L64" s="159"/>
      <c r="M64" s="159"/>
      <c r="N64" s="159"/>
      <c r="O64" s="159"/>
      <c r="P64" s="159"/>
      <c r="Q64" s="159"/>
      <c r="R64" s="159"/>
      <c r="S64" s="159"/>
      <c r="T64" s="159"/>
      <c r="U64" s="159"/>
      <c r="V64" s="561"/>
      <c r="W64" s="159"/>
    </row>
    <row r="65" spans="2:23" ht="8.25" customHeight="1" x14ac:dyDescent="0.25">
      <c r="B65" s="159"/>
      <c r="C65" s="163"/>
      <c r="D65" s="163"/>
      <c r="E65" s="163"/>
      <c r="F65" s="163"/>
      <c r="G65" s="163"/>
      <c r="H65" s="163"/>
      <c r="I65" s="163"/>
      <c r="J65" s="163"/>
      <c r="K65" s="159"/>
      <c r="L65" s="159"/>
      <c r="M65" s="159"/>
      <c r="N65" s="159"/>
      <c r="O65" s="159"/>
      <c r="P65" s="159"/>
      <c r="Q65" s="159"/>
      <c r="R65" s="159"/>
      <c r="S65" s="159"/>
      <c r="T65" s="159"/>
      <c r="U65" s="159"/>
      <c r="V65" s="561"/>
      <c r="W65" s="159"/>
    </row>
    <row r="66" spans="2:23" ht="30" customHeight="1" x14ac:dyDescent="0.25">
      <c r="B66" s="159"/>
      <c r="C66" s="156"/>
      <c r="D66" s="688" t="s">
        <v>497</v>
      </c>
      <c r="E66" s="688"/>
      <c r="F66" s="688"/>
      <c r="G66" s="688"/>
      <c r="H66" s="688"/>
      <c r="I66" s="688"/>
      <c r="J66" s="688"/>
      <c r="K66" s="688"/>
      <c r="L66" s="688"/>
      <c r="M66" s="688"/>
      <c r="N66" s="688"/>
      <c r="O66" s="688"/>
      <c r="P66" s="688"/>
      <c r="Q66" s="688"/>
      <c r="R66" s="688"/>
      <c r="S66" s="688"/>
      <c r="T66" s="688"/>
      <c r="U66" s="688"/>
      <c r="V66" s="688"/>
      <c r="W66" s="159"/>
    </row>
    <row r="67" spans="2:23" ht="15.75" x14ac:dyDescent="0.25">
      <c r="B67" s="159"/>
      <c r="C67" s="660"/>
      <c r="D67" s="660"/>
      <c r="E67" s="160"/>
      <c r="F67" s="159"/>
      <c r="G67" s="159"/>
      <c r="H67" s="159"/>
      <c r="I67" s="159"/>
      <c r="J67" s="159"/>
      <c r="K67" s="159"/>
      <c r="L67" s="159"/>
      <c r="M67" s="159"/>
      <c r="N67" s="159"/>
      <c r="O67" s="159"/>
      <c r="P67" s="159"/>
      <c r="Q67" s="159"/>
      <c r="R67" s="159"/>
      <c r="S67" s="159"/>
      <c r="T67" s="159"/>
      <c r="U67" s="159"/>
      <c r="V67" s="561"/>
      <c r="W67" s="159"/>
    </row>
    <row r="68" spans="2:23" ht="45" x14ac:dyDescent="0.25">
      <c r="B68" s="159"/>
      <c r="C68" s="665" t="s">
        <v>350</v>
      </c>
      <c r="D68" s="665"/>
      <c r="E68" s="665"/>
      <c r="F68" s="665"/>
      <c r="G68" s="665"/>
      <c r="H68" s="665"/>
      <c r="I68" s="665" t="s">
        <v>352</v>
      </c>
      <c r="J68" s="665"/>
      <c r="K68" s="665"/>
      <c r="L68" s="665"/>
      <c r="M68" s="665"/>
      <c r="N68" s="665"/>
      <c r="O68" s="665"/>
      <c r="P68" s="665"/>
      <c r="Q68" s="665"/>
      <c r="R68" s="665"/>
      <c r="S68" s="665"/>
      <c r="T68" s="665"/>
      <c r="U68" s="665"/>
      <c r="V68" s="164" t="s">
        <v>498</v>
      </c>
      <c r="W68" s="159"/>
    </row>
    <row r="69" spans="2:23" ht="7.5" customHeight="1" x14ac:dyDescent="0.25">
      <c r="B69" s="159"/>
      <c r="C69" s="666"/>
      <c r="D69" s="667"/>
      <c r="E69" s="667"/>
      <c r="F69" s="667"/>
      <c r="G69" s="667"/>
      <c r="H69" s="667"/>
      <c r="I69" s="667"/>
      <c r="J69" s="667"/>
      <c r="K69" s="667"/>
      <c r="L69" s="667"/>
      <c r="M69" s="667"/>
      <c r="N69" s="667"/>
      <c r="O69" s="667"/>
      <c r="P69" s="667"/>
      <c r="Q69" s="667"/>
      <c r="R69" s="667"/>
      <c r="S69" s="667"/>
      <c r="T69" s="667"/>
      <c r="U69" s="667"/>
      <c r="V69" s="668"/>
      <c r="W69" s="159"/>
    </row>
    <row r="70" spans="2:23" s="155" customFormat="1" ht="34.5" customHeight="1" x14ac:dyDescent="0.25">
      <c r="B70" s="161"/>
      <c r="C70" s="661" t="str">
        <f>'Capital Costs Details'!C5:G5</f>
        <v>4.1 Capital Costs Details</v>
      </c>
      <c r="D70" s="661"/>
      <c r="E70" s="661"/>
      <c r="F70" s="661"/>
      <c r="G70" s="661"/>
      <c r="H70" s="661"/>
      <c r="I70" s="664" t="s">
        <v>358</v>
      </c>
      <c r="J70" s="664"/>
      <c r="K70" s="664"/>
      <c r="L70" s="664"/>
      <c r="M70" s="664"/>
      <c r="N70" s="664"/>
      <c r="O70" s="664"/>
      <c r="P70" s="664"/>
      <c r="Q70" s="664"/>
      <c r="R70" s="664"/>
      <c r="S70" s="664"/>
      <c r="T70" s="664"/>
      <c r="U70" s="664"/>
      <c r="V70" s="355" t="s">
        <v>395</v>
      </c>
      <c r="W70" s="161"/>
    </row>
    <row r="71" spans="2:23" s="155" customFormat="1" ht="17.25" customHeight="1" x14ac:dyDescent="0.25">
      <c r="B71" s="161"/>
      <c r="C71" s="661" t="str">
        <f>'Capital Costs Details'!C8:L8</f>
        <v>4.1.1 Solar Generation (Gx)</v>
      </c>
      <c r="D71" s="661"/>
      <c r="E71" s="661"/>
      <c r="F71" s="661"/>
      <c r="G71" s="661"/>
      <c r="H71" s="661"/>
      <c r="I71" s="664" t="s">
        <v>354</v>
      </c>
      <c r="J71" s="664"/>
      <c r="K71" s="664"/>
      <c r="L71" s="664"/>
      <c r="M71" s="664"/>
      <c r="N71" s="664"/>
      <c r="O71" s="664"/>
      <c r="P71" s="664"/>
      <c r="Q71" s="664"/>
      <c r="R71" s="664"/>
      <c r="S71" s="664"/>
      <c r="T71" s="664"/>
      <c r="U71" s="664"/>
      <c r="V71" s="677" t="s">
        <v>398</v>
      </c>
      <c r="W71" s="161"/>
    </row>
    <row r="72" spans="2:23" s="155" customFormat="1" ht="17.25" customHeight="1" x14ac:dyDescent="0.25">
      <c r="B72" s="161"/>
      <c r="C72" s="661" t="str">
        <f>'Capital Costs Details'!C31:L31</f>
        <v>4.1.2 Wind Gx</v>
      </c>
      <c r="D72" s="661"/>
      <c r="E72" s="661"/>
      <c r="F72" s="661"/>
      <c r="G72" s="661"/>
      <c r="H72" s="661"/>
      <c r="I72" s="664"/>
      <c r="J72" s="664"/>
      <c r="K72" s="664"/>
      <c r="L72" s="664"/>
      <c r="M72" s="664"/>
      <c r="N72" s="664"/>
      <c r="O72" s="664"/>
      <c r="P72" s="664"/>
      <c r="Q72" s="664"/>
      <c r="R72" s="664"/>
      <c r="S72" s="664"/>
      <c r="T72" s="664"/>
      <c r="U72" s="664"/>
      <c r="V72" s="678"/>
      <c r="W72" s="161"/>
    </row>
    <row r="73" spans="2:23" s="155" customFormat="1" ht="17.25" customHeight="1" x14ac:dyDescent="0.25">
      <c r="B73" s="161"/>
      <c r="C73" s="661" t="str">
        <f>'Capital Costs Details'!C62:L62</f>
        <v>4.1.3 Fossil Fuels Gx</v>
      </c>
      <c r="D73" s="661"/>
      <c r="E73" s="661"/>
      <c r="F73" s="661"/>
      <c r="G73" s="661"/>
      <c r="H73" s="661"/>
      <c r="I73" s="664"/>
      <c r="J73" s="664"/>
      <c r="K73" s="664"/>
      <c r="L73" s="664"/>
      <c r="M73" s="664"/>
      <c r="N73" s="664"/>
      <c r="O73" s="664"/>
      <c r="P73" s="664"/>
      <c r="Q73" s="664"/>
      <c r="R73" s="664"/>
      <c r="S73" s="664"/>
      <c r="T73" s="664"/>
      <c r="U73" s="664"/>
      <c r="V73" s="678"/>
      <c r="W73" s="161"/>
    </row>
    <row r="74" spans="2:23" s="155" customFormat="1" ht="17.25" customHeight="1" x14ac:dyDescent="0.25">
      <c r="B74" s="161"/>
      <c r="C74" s="661" t="str">
        <f>'Capital Costs Details'!C81</f>
        <v>4.1.4 Micro, Mini and Small Hydro Gx</v>
      </c>
      <c r="D74" s="661"/>
      <c r="E74" s="661"/>
      <c r="F74" s="661"/>
      <c r="G74" s="661"/>
      <c r="H74" s="661"/>
      <c r="I74" s="664"/>
      <c r="J74" s="664"/>
      <c r="K74" s="664"/>
      <c r="L74" s="664"/>
      <c r="M74" s="664"/>
      <c r="N74" s="664"/>
      <c r="O74" s="664"/>
      <c r="P74" s="664"/>
      <c r="Q74" s="664"/>
      <c r="R74" s="664"/>
      <c r="S74" s="664"/>
      <c r="T74" s="664"/>
      <c r="U74" s="664"/>
      <c r="V74" s="678"/>
      <c r="W74" s="161"/>
    </row>
    <row r="75" spans="2:23" s="155" customFormat="1" ht="17.25" customHeight="1" x14ac:dyDescent="0.25">
      <c r="B75" s="161"/>
      <c r="C75" s="661" t="str">
        <f>'Capital Costs Details'!C101</f>
        <v>4.1.5 Biomass Gx</v>
      </c>
      <c r="D75" s="661"/>
      <c r="E75" s="661"/>
      <c r="F75" s="661"/>
      <c r="G75" s="661"/>
      <c r="H75" s="661"/>
      <c r="I75" s="664"/>
      <c r="J75" s="664"/>
      <c r="K75" s="664"/>
      <c r="L75" s="664"/>
      <c r="M75" s="664"/>
      <c r="N75" s="664"/>
      <c r="O75" s="664"/>
      <c r="P75" s="664"/>
      <c r="Q75" s="664"/>
      <c r="R75" s="664"/>
      <c r="S75" s="664"/>
      <c r="T75" s="664"/>
      <c r="U75" s="664"/>
      <c r="V75" s="678"/>
      <c r="W75" s="161"/>
    </row>
    <row r="76" spans="2:23" s="155" customFormat="1" ht="25.5" customHeight="1" x14ac:dyDescent="0.25">
      <c r="B76" s="161"/>
      <c r="C76" s="661" t="str">
        <f>'Capital Costs Details'!C124</f>
        <v>4.1.6 Distribution (Dx)</v>
      </c>
      <c r="D76" s="661"/>
      <c r="E76" s="661"/>
      <c r="F76" s="661"/>
      <c r="G76" s="661"/>
      <c r="H76" s="661"/>
      <c r="I76" s="664" t="s">
        <v>355</v>
      </c>
      <c r="J76" s="664"/>
      <c r="K76" s="664"/>
      <c r="L76" s="664"/>
      <c r="M76" s="664"/>
      <c r="N76" s="664"/>
      <c r="O76" s="664"/>
      <c r="P76" s="664"/>
      <c r="Q76" s="664"/>
      <c r="R76" s="664"/>
      <c r="S76" s="664"/>
      <c r="T76" s="664"/>
      <c r="U76" s="664"/>
      <c r="V76" s="355" t="s">
        <v>399</v>
      </c>
      <c r="W76" s="161"/>
    </row>
    <row r="77" spans="2:23" s="155" customFormat="1" ht="23.25" customHeight="1" x14ac:dyDescent="0.25">
      <c r="B77" s="161"/>
      <c r="C77" s="661" t="str">
        <f>'Capital Costs Details'!C132</f>
        <v>4.1.7 Retail Metering and Reticulation (Rx)</v>
      </c>
      <c r="D77" s="661"/>
      <c r="E77" s="661"/>
      <c r="F77" s="661"/>
      <c r="G77" s="661"/>
      <c r="H77" s="661"/>
      <c r="I77" s="664"/>
      <c r="J77" s="664"/>
      <c r="K77" s="664"/>
      <c r="L77" s="664"/>
      <c r="M77" s="664"/>
      <c r="N77" s="664"/>
      <c r="O77" s="664"/>
      <c r="P77" s="664"/>
      <c r="Q77" s="664"/>
      <c r="R77" s="664"/>
      <c r="S77" s="664"/>
      <c r="T77" s="664"/>
      <c r="U77" s="664"/>
      <c r="V77" s="355" t="s">
        <v>400</v>
      </c>
      <c r="W77" s="161"/>
    </row>
    <row r="78" spans="2:23" s="155" customFormat="1" ht="33.75" customHeight="1" x14ac:dyDescent="0.25">
      <c r="B78" s="161"/>
      <c r="C78" s="661" t="str">
        <f>'Capital Costs Details'!C142</f>
        <v>4.1.8 General Utility Property Plant &amp; Equipment</v>
      </c>
      <c r="D78" s="661"/>
      <c r="E78" s="661"/>
      <c r="F78" s="661"/>
      <c r="G78" s="661"/>
      <c r="H78" s="661"/>
      <c r="I78" s="664" t="s">
        <v>392</v>
      </c>
      <c r="J78" s="664"/>
      <c r="K78" s="664"/>
      <c r="L78" s="664"/>
      <c r="M78" s="664"/>
      <c r="N78" s="664"/>
      <c r="O78" s="664"/>
      <c r="P78" s="664"/>
      <c r="Q78" s="664"/>
      <c r="R78" s="664"/>
      <c r="S78" s="664"/>
      <c r="T78" s="664"/>
      <c r="U78" s="664"/>
      <c r="V78" s="355" t="s">
        <v>401</v>
      </c>
      <c r="W78" s="161"/>
    </row>
    <row r="79" spans="2:23" s="155" customFormat="1" ht="24" customHeight="1" x14ac:dyDescent="0.25">
      <c r="B79" s="161"/>
      <c r="C79" s="661" t="str">
        <f>'Capital Costs Details'!C151</f>
        <v>4.1.9 Total Project Capital Costs</v>
      </c>
      <c r="D79" s="661"/>
      <c r="E79" s="661"/>
      <c r="F79" s="661"/>
      <c r="G79" s="661"/>
      <c r="H79" s="661"/>
      <c r="I79" s="664" t="s">
        <v>353</v>
      </c>
      <c r="J79" s="664"/>
      <c r="K79" s="664"/>
      <c r="L79" s="664"/>
      <c r="M79" s="664"/>
      <c r="N79" s="664"/>
      <c r="O79" s="664"/>
      <c r="P79" s="664"/>
      <c r="Q79" s="664"/>
      <c r="R79" s="664"/>
      <c r="S79" s="664"/>
      <c r="T79" s="664"/>
      <c r="U79" s="664"/>
      <c r="V79" s="355" t="s">
        <v>402</v>
      </c>
      <c r="W79" s="161"/>
    </row>
    <row r="80" spans="2:23" s="155" customFormat="1" ht="31.5" customHeight="1" x14ac:dyDescent="0.25">
      <c r="B80" s="161"/>
      <c r="C80" s="661" t="str">
        <f>'Capital Costs Details'!C153</f>
        <v>4.1.10 Interest During Construction (IDC)</v>
      </c>
      <c r="D80" s="661"/>
      <c r="E80" s="661"/>
      <c r="F80" s="661"/>
      <c r="G80" s="661"/>
      <c r="H80" s="661"/>
      <c r="I80" s="664" t="s">
        <v>356</v>
      </c>
      <c r="J80" s="664"/>
      <c r="K80" s="664"/>
      <c r="L80" s="664"/>
      <c r="M80" s="664"/>
      <c r="N80" s="664"/>
      <c r="O80" s="664"/>
      <c r="P80" s="664"/>
      <c r="Q80" s="664"/>
      <c r="R80" s="664"/>
      <c r="S80" s="664"/>
      <c r="T80" s="664"/>
      <c r="U80" s="664"/>
      <c r="V80" s="355" t="s">
        <v>403</v>
      </c>
      <c r="W80" s="161"/>
    </row>
    <row r="81" spans="2:23" s="155" customFormat="1" ht="18.75" customHeight="1" x14ac:dyDescent="0.25">
      <c r="B81" s="161"/>
      <c r="C81" s="661" t="str">
        <f>'Capital Costs Details'!C158</f>
        <v>4.1.11 Intangible Assets (Financing-Related)</v>
      </c>
      <c r="D81" s="661"/>
      <c r="E81" s="661"/>
      <c r="F81" s="661"/>
      <c r="G81" s="661"/>
      <c r="H81" s="661"/>
      <c r="I81" s="664" t="s">
        <v>357</v>
      </c>
      <c r="J81" s="664"/>
      <c r="K81" s="664"/>
      <c r="L81" s="664"/>
      <c r="M81" s="664"/>
      <c r="N81" s="664"/>
      <c r="O81" s="664"/>
      <c r="P81" s="664"/>
      <c r="Q81" s="664"/>
      <c r="R81" s="664"/>
      <c r="S81" s="664"/>
      <c r="T81" s="664"/>
      <c r="U81" s="664"/>
      <c r="V81" s="355" t="s">
        <v>404</v>
      </c>
      <c r="W81" s="161"/>
    </row>
    <row r="82" spans="2:23" s="155" customFormat="1" ht="63" customHeight="1" x14ac:dyDescent="0.25">
      <c r="B82" s="161"/>
      <c r="C82" s="661" t="str">
        <f>'Capital Costs Details'!C165</f>
        <v>4.1.12 Asset Replacements/Refurbishments</v>
      </c>
      <c r="D82" s="661"/>
      <c r="E82" s="661"/>
      <c r="F82" s="661"/>
      <c r="G82" s="661"/>
      <c r="H82" s="661"/>
      <c r="I82" s="664" t="s">
        <v>394</v>
      </c>
      <c r="J82" s="664"/>
      <c r="K82" s="664"/>
      <c r="L82" s="664"/>
      <c r="M82" s="664"/>
      <c r="N82" s="664"/>
      <c r="O82" s="664"/>
      <c r="P82" s="664"/>
      <c r="Q82" s="664"/>
      <c r="R82" s="664"/>
      <c r="S82" s="664"/>
      <c r="T82" s="664"/>
      <c r="U82" s="664"/>
      <c r="V82" s="355" t="s">
        <v>405</v>
      </c>
      <c r="W82" s="161"/>
    </row>
    <row r="83" spans="2:23" s="155" customFormat="1" ht="62.25" customHeight="1" x14ac:dyDescent="0.25">
      <c r="B83" s="161"/>
      <c r="C83" s="661" t="str">
        <f>'Capital Costs Details'!I5</f>
        <v>4.1.13 Depreciation/Amortisation</v>
      </c>
      <c r="D83" s="661"/>
      <c r="E83" s="661"/>
      <c r="F83" s="661"/>
      <c r="G83" s="661"/>
      <c r="H83" s="661"/>
      <c r="I83" s="664" t="s">
        <v>372</v>
      </c>
      <c r="J83" s="664"/>
      <c r="K83" s="664"/>
      <c r="L83" s="664"/>
      <c r="M83" s="664"/>
      <c r="N83" s="664"/>
      <c r="O83" s="664"/>
      <c r="P83" s="664"/>
      <c r="Q83" s="664"/>
      <c r="R83" s="664"/>
      <c r="S83" s="664"/>
      <c r="T83" s="664"/>
      <c r="U83" s="664"/>
      <c r="V83" s="355" t="s">
        <v>406</v>
      </c>
      <c r="W83" s="161"/>
    </row>
    <row r="84" spans="2:23" s="155" customFormat="1" ht="7.5" customHeight="1" x14ac:dyDescent="0.25">
      <c r="B84" s="161"/>
      <c r="C84" s="684"/>
      <c r="D84" s="685"/>
      <c r="E84" s="685"/>
      <c r="F84" s="685"/>
      <c r="G84" s="685"/>
      <c r="H84" s="685"/>
      <c r="I84" s="685"/>
      <c r="J84" s="685"/>
      <c r="K84" s="685"/>
      <c r="L84" s="685"/>
      <c r="M84" s="685"/>
      <c r="N84" s="685"/>
      <c r="O84" s="685"/>
      <c r="P84" s="685"/>
      <c r="Q84" s="685"/>
      <c r="R84" s="685"/>
      <c r="S84" s="685"/>
      <c r="T84" s="685"/>
      <c r="U84" s="685"/>
      <c r="V84" s="686"/>
      <c r="W84" s="161"/>
    </row>
    <row r="85" spans="2:23" s="155" customFormat="1" ht="20.25" customHeight="1" x14ac:dyDescent="0.25">
      <c r="B85" s="161"/>
      <c r="C85" s="661" t="str">
        <f>'Tariff Inputs'!C3</f>
        <v>4.2 Tariff Inputs (Building Blocks)</v>
      </c>
      <c r="D85" s="661"/>
      <c r="E85" s="661"/>
      <c r="F85" s="661"/>
      <c r="G85" s="661"/>
      <c r="H85" s="661"/>
      <c r="I85" s="664"/>
      <c r="J85" s="664"/>
      <c r="K85" s="664"/>
      <c r="L85" s="664"/>
      <c r="M85" s="664"/>
      <c r="N85" s="664"/>
      <c r="O85" s="664"/>
      <c r="P85" s="664"/>
      <c r="Q85" s="664"/>
      <c r="R85" s="664"/>
      <c r="S85" s="664"/>
      <c r="T85" s="664"/>
      <c r="U85" s="664"/>
      <c r="V85" s="355" t="s">
        <v>407</v>
      </c>
      <c r="W85" s="161"/>
    </row>
    <row r="86" spans="2:23" s="155" customFormat="1" ht="37.5" customHeight="1" x14ac:dyDescent="0.25">
      <c r="B86" s="161"/>
      <c r="C86" s="661" t="str">
        <f>'Tariff Inputs'!C5</f>
        <v>4.2.1 Project Capacity Factor</v>
      </c>
      <c r="D86" s="661"/>
      <c r="E86" s="661"/>
      <c r="F86" s="661"/>
      <c r="G86" s="661"/>
      <c r="H86" s="661"/>
      <c r="I86" s="664" t="s">
        <v>359</v>
      </c>
      <c r="J86" s="664"/>
      <c r="K86" s="664"/>
      <c r="L86" s="664"/>
      <c r="M86" s="664"/>
      <c r="N86" s="664"/>
      <c r="O86" s="664"/>
      <c r="P86" s="664"/>
      <c r="Q86" s="664"/>
      <c r="R86" s="664"/>
      <c r="S86" s="664"/>
      <c r="T86" s="664"/>
      <c r="U86" s="664"/>
      <c r="V86" s="355" t="s">
        <v>408</v>
      </c>
      <c r="W86" s="161"/>
    </row>
    <row r="87" spans="2:23" s="155" customFormat="1" ht="24" customHeight="1" x14ac:dyDescent="0.25">
      <c r="B87" s="161"/>
      <c r="C87" s="661" t="str">
        <f>'Tariff Inputs'!C19</f>
        <v>4.2.2 Depreciation</v>
      </c>
      <c r="D87" s="661"/>
      <c r="E87" s="661"/>
      <c r="F87" s="661"/>
      <c r="G87" s="661"/>
      <c r="H87" s="661"/>
      <c r="I87" s="664" t="s">
        <v>436</v>
      </c>
      <c r="J87" s="664"/>
      <c r="K87" s="664"/>
      <c r="L87" s="664"/>
      <c r="M87" s="664"/>
      <c r="N87" s="664"/>
      <c r="O87" s="664"/>
      <c r="P87" s="664"/>
      <c r="Q87" s="664"/>
      <c r="R87" s="664"/>
      <c r="S87" s="664"/>
      <c r="T87" s="664"/>
      <c r="U87" s="664"/>
      <c r="V87" s="355" t="s">
        <v>409</v>
      </c>
      <c r="W87" s="161"/>
    </row>
    <row r="88" spans="2:23" s="155" customFormat="1" ht="27.75" customHeight="1" x14ac:dyDescent="0.25">
      <c r="B88" s="161"/>
      <c r="C88" s="661" t="str">
        <f>'Tariff Inputs'!C24</f>
        <v>4.2.3 Operating and Maintenance Expenses</v>
      </c>
      <c r="D88" s="661"/>
      <c r="E88" s="661"/>
      <c r="F88" s="661"/>
      <c r="G88" s="661"/>
      <c r="H88" s="661"/>
      <c r="I88" s="664" t="s">
        <v>600</v>
      </c>
      <c r="J88" s="664"/>
      <c r="K88" s="664"/>
      <c r="L88" s="664"/>
      <c r="M88" s="664"/>
      <c r="N88" s="664"/>
      <c r="O88" s="664"/>
      <c r="P88" s="664"/>
      <c r="Q88" s="664"/>
      <c r="R88" s="664"/>
      <c r="S88" s="664"/>
      <c r="T88" s="664"/>
      <c r="U88" s="664"/>
      <c r="V88" s="355" t="s">
        <v>410</v>
      </c>
      <c r="W88" s="161"/>
    </row>
    <row r="89" spans="2:23" s="155" customFormat="1" ht="48.75" customHeight="1" x14ac:dyDescent="0.25">
      <c r="B89" s="161"/>
      <c r="C89" s="661" t="str">
        <f>'Tariff Inputs'!C56</f>
        <v>4.2.4 Subsidy/Grants/Contributions/Customers Payments for Connection</v>
      </c>
      <c r="D89" s="661"/>
      <c r="E89" s="661"/>
      <c r="F89" s="661"/>
      <c r="G89" s="661"/>
      <c r="H89" s="661"/>
      <c r="I89" s="664" t="s">
        <v>546</v>
      </c>
      <c r="J89" s="664"/>
      <c r="K89" s="664"/>
      <c r="L89" s="664"/>
      <c r="M89" s="664"/>
      <c r="N89" s="664"/>
      <c r="O89" s="664"/>
      <c r="P89" s="664"/>
      <c r="Q89" s="664"/>
      <c r="R89" s="664"/>
      <c r="S89" s="664"/>
      <c r="T89" s="664"/>
      <c r="U89" s="664"/>
      <c r="V89" s="355" t="s">
        <v>419</v>
      </c>
      <c r="W89" s="161"/>
    </row>
    <row r="90" spans="2:23" s="155" customFormat="1" ht="63.75" customHeight="1" x14ac:dyDescent="0.25">
      <c r="B90" s="161"/>
      <c r="C90" s="661" t="str">
        <f>'Tariff Inputs'!C62</f>
        <v>4.2.5 Project Capital Costs &amp; IFRS 14 Regulatory Deferral Accounts Balances at the time of Grid Arrival Sale</v>
      </c>
      <c r="D90" s="661"/>
      <c r="E90" s="661"/>
      <c r="F90" s="661"/>
      <c r="G90" s="661"/>
      <c r="H90" s="661"/>
      <c r="I90" s="664" t="s">
        <v>603</v>
      </c>
      <c r="J90" s="664"/>
      <c r="K90" s="664"/>
      <c r="L90" s="664"/>
      <c r="M90" s="664"/>
      <c r="N90" s="664"/>
      <c r="O90" s="664"/>
      <c r="P90" s="664"/>
      <c r="Q90" s="664"/>
      <c r="R90" s="664"/>
      <c r="S90" s="664"/>
      <c r="T90" s="664"/>
      <c r="U90" s="664"/>
      <c r="V90" s="355" t="s">
        <v>597</v>
      </c>
      <c r="W90" s="161"/>
    </row>
    <row r="91" spans="2:23" s="155" customFormat="1" ht="35.25" customHeight="1" x14ac:dyDescent="0.25">
      <c r="B91" s="161"/>
      <c r="C91" s="661" t="str">
        <f>'Tariff Inputs'!C70</f>
        <v>4.2.6 Working Capital (Restricted due to pre-paid metering)</v>
      </c>
      <c r="D91" s="661"/>
      <c r="E91" s="661"/>
      <c r="F91" s="661"/>
      <c r="G91" s="661"/>
      <c r="H91" s="661"/>
      <c r="I91" s="664" t="s">
        <v>437</v>
      </c>
      <c r="J91" s="664"/>
      <c r="K91" s="664"/>
      <c r="L91" s="664"/>
      <c r="M91" s="664"/>
      <c r="N91" s="664"/>
      <c r="O91" s="664"/>
      <c r="P91" s="664"/>
      <c r="Q91" s="664"/>
      <c r="R91" s="664"/>
      <c r="S91" s="664"/>
      <c r="T91" s="664"/>
      <c r="U91" s="664"/>
      <c r="V91" s="355" t="s">
        <v>418</v>
      </c>
      <c r="W91" s="161"/>
    </row>
    <row r="92" spans="2:23" s="155" customFormat="1" ht="30.75" customHeight="1" x14ac:dyDescent="0.25">
      <c r="B92" s="161"/>
      <c r="C92" s="661" t="str">
        <f>'Tariff Inputs'!C75</f>
        <v>4.2.7 Debt term-sheet</v>
      </c>
      <c r="D92" s="661"/>
      <c r="E92" s="661"/>
      <c r="F92" s="661"/>
      <c r="G92" s="661"/>
      <c r="H92" s="661"/>
      <c r="I92" s="664" t="s">
        <v>438</v>
      </c>
      <c r="J92" s="664"/>
      <c r="K92" s="664"/>
      <c r="L92" s="664"/>
      <c r="M92" s="664"/>
      <c r="N92" s="664"/>
      <c r="O92" s="664"/>
      <c r="P92" s="664"/>
      <c r="Q92" s="664"/>
      <c r="R92" s="664"/>
      <c r="S92" s="664"/>
      <c r="T92" s="664"/>
      <c r="U92" s="664"/>
      <c r="V92" s="355" t="s">
        <v>417</v>
      </c>
      <c r="W92" s="161"/>
    </row>
    <row r="93" spans="2:23" s="155" customFormat="1" ht="52.5" customHeight="1" x14ac:dyDescent="0.25">
      <c r="B93" s="161"/>
      <c r="C93" s="661" t="str">
        <f>'Tariff Inputs'!C81</f>
        <v>4.2.8 Financing (Capital Structure, WACC, Dividends)</v>
      </c>
      <c r="D93" s="661"/>
      <c r="E93" s="661"/>
      <c r="F93" s="661"/>
      <c r="G93" s="661"/>
      <c r="H93" s="661"/>
      <c r="I93" s="664" t="s">
        <v>439</v>
      </c>
      <c r="J93" s="664"/>
      <c r="K93" s="664"/>
      <c r="L93" s="664"/>
      <c r="M93" s="664"/>
      <c r="N93" s="664"/>
      <c r="O93" s="664"/>
      <c r="P93" s="664"/>
      <c r="Q93" s="664"/>
      <c r="R93" s="664"/>
      <c r="S93" s="664"/>
      <c r="T93" s="664"/>
      <c r="U93" s="664"/>
      <c r="V93" s="355" t="s">
        <v>416</v>
      </c>
      <c r="W93" s="161"/>
    </row>
    <row r="94" spans="2:23" s="155" customFormat="1" ht="76.5" customHeight="1" x14ac:dyDescent="0.25">
      <c r="B94" s="161"/>
      <c r="C94" s="661" t="str">
        <f>'Tariff Inputs'!C89</f>
        <v>4.2.9 Economic Data</v>
      </c>
      <c r="D94" s="661"/>
      <c r="E94" s="661"/>
      <c r="F94" s="661"/>
      <c r="G94" s="661"/>
      <c r="H94" s="661"/>
      <c r="I94" s="664" t="s">
        <v>440</v>
      </c>
      <c r="J94" s="664"/>
      <c r="K94" s="664"/>
      <c r="L94" s="664"/>
      <c r="M94" s="664"/>
      <c r="N94" s="664"/>
      <c r="O94" s="664"/>
      <c r="P94" s="664"/>
      <c r="Q94" s="664"/>
      <c r="R94" s="664"/>
      <c r="S94" s="664"/>
      <c r="T94" s="664"/>
      <c r="U94" s="664"/>
      <c r="V94" s="355" t="s">
        <v>415</v>
      </c>
      <c r="W94" s="161"/>
    </row>
    <row r="95" spans="2:23" s="155" customFormat="1" ht="173.25" customHeight="1" x14ac:dyDescent="0.25">
      <c r="B95" s="161"/>
      <c r="C95" s="661" t="str">
        <f>'Tariff Inputs'!C96</f>
        <v>4.2.10 Tariff Structuring Inputs</v>
      </c>
      <c r="D95" s="661"/>
      <c r="E95" s="661"/>
      <c r="F95" s="661"/>
      <c r="G95" s="661"/>
      <c r="H95" s="661"/>
      <c r="I95" s="664" t="s">
        <v>441</v>
      </c>
      <c r="J95" s="664"/>
      <c r="K95" s="664"/>
      <c r="L95" s="664"/>
      <c r="M95" s="664"/>
      <c r="N95" s="664"/>
      <c r="O95" s="664"/>
      <c r="P95" s="664"/>
      <c r="Q95" s="664"/>
      <c r="R95" s="664"/>
      <c r="S95" s="664"/>
      <c r="T95" s="664"/>
      <c r="U95" s="664"/>
      <c r="V95" s="355" t="s">
        <v>414</v>
      </c>
      <c r="W95" s="161"/>
    </row>
    <row r="96" spans="2:23" s="155" customFormat="1" ht="91.5" customHeight="1" x14ac:dyDescent="0.25">
      <c r="B96" s="161"/>
      <c r="C96" s="661" t="str">
        <f>'Tariff Inputs'!C108</f>
        <v>4.2.11 Forex Volatility Adjustment(Not embedded in the tariff)</v>
      </c>
      <c r="D96" s="661"/>
      <c r="E96" s="661"/>
      <c r="F96" s="661"/>
      <c r="G96" s="661"/>
      <c r="H96" s="661"/>
      <c r="I96" s="664" t="s">
        <v>360</v>
      </c>
      <c r="J96" s="664"/>
      <c r="K96" s="664"/>
      <c r="L96" s="664"/>
      <c r="M96" s="664"/>
      <c r="N96" s="664"/>
      <c r="O96" s="664"/>
      <c r="P96" s="664"/>
      <c r="Q96" s="664"/>
      <c r="R96" s="664"/>
      <c r="S96" s="664"/>
      <c r="T96" s="664"/>
      <c r="U96" s="664"/>
      <c r="V96" s="355" t="s">
        <v>413</v>
      </c>
      <c r="W96" s="161"/>
    </row>
    <row r="97" spans="2:23" s="155" customFormat="1" x14ac:dyDescent="0.25">
      <c r="B97" s="161"/>
      <c r="C97" s="684"/>
      <c r="D97" s="685"/>
      <c r="E97" s="685"/>
      <c r="F97" s="685"/>
      <c r="G97" s="685"/>
      <c r="H97" s="685"/>
      <c r="I97" s="685"/>
      <c r="J97" s="685"/>
      <c r="K97" s="685"/>
      <c r="L97" s="685"/>
      <c r="M97" s="685"/>
      <c r="N97" s="685"/>
      <c r="O97" s="685"/>
      <c r="P97" s="685"/>
      <c r="Q97" s="685"/>
      <c r="R97" s="685"/>
      <c r="S97" s="685"/>
      <c r="T97" s="685"/>
      <c r="U97" s="685"/>
      <c r="V97" s="686"/>
      <c r="W97" s="161"/>
    </row>
    <row r="98" spans="2:23" s="155" customFormat="1" ht="84.75" customHeight="1" x14ac:dyDescent="0.25">
      <c r="B98" s="161"/>
      <c r="C98" s="661" t="str">
        <f>'Loan Drawdown'!C3</f>
        <v>4.3 Loan Drawdown</v>
      </c>
      <c r="D98" s="661"/>
      <c r="E98" s="661"/>
      <c r="F98" s="661"/>
      <c r="G98" s="661"/>
      <c r="H98" s="661"/>
      <c r="I98" s="664" t="s">
        <v>435</v>
      </c>
      <c r="J98" s="664"/>
      <c r="K98" s="664"/>
      <c r="L98" s="664"/>
      <c r="M98" s="664"/>
      <c r="N98" s="664"/>
      <c r="O98" s="664"/>
      <c r="P98" s="664"/>
      <c r="Q98" s="664"/>
      <c r="R98" s="664"/>
      <c r="S98" s="664"/>
      <c r="T98" s="664"/>
      <c r="U98" s="664"/>
      <c r="V98" s="355" t="s">
        <v>412</v>
      </c>
      <c r="W98" s="161"/>
    </row>
    <row r="99" spans="2:23" s="155" customFormat="1" ht="7.5" customHeight="1" x14ac:dyDescent="0.25">
      <c r="B99" s="161"/>
      <c r="C99" s="684"/>
      <c r="D99" s="685"/>
      <c r="E99" s="685"/>
      <c r="F99" s="685"/>
      <c r="G99" s="685"/>
      <c r="H99" s="685"/>
      <c r="I99" s="685"/>
      <c r="J99" s="685"/>
      <c r="K99" s="685"/>
      <c r="L99" s="685"/>
      <c r="M99" s="685"/>
      <c r="N99" s="685"/>
      <c r="O99" s="685"/>
      <c r="P99" s="685"/>
      <c r="Q99" s="685"/>
      <c r="R99" s="685"/>
      <c r="S99" s="685"/>
      <c r="T99" s="685"/>
      <c r="U99" s="685"/>
      <c r="V99" s="686"/>
      <c r="W99" s="161"/>
    </row>
    <row r="100" spans="2:23" s="155" customFormat="1" ht="26.25" customHeight="1" x14ac:dyDescent="0.25">
      <c r="B100" s="161"/>
      <c r="C100" s="661" t="str">
        <f>'Load Profile'!C3</f>
        <v>4.4 Load Profile</v>
      </c>
      <c r="D100" s="661"/>
      <c r="E100" s="661"/>
      <c r="F100" s="661"/>
      <c r="G100" s="661"/>
      <c r="H100" s="661"/>
      <c r="I100" s="664" t="s">
        <v>442</v>
      </c>
      <c r="J100" s="664"/>
      <c r="K100" s="664"/>
      <c r="L100" s="664"/>
      <c r="M100" s="664"/>
      <c r="N100" s="664"/>
      <c r="O100" s="664"/>
      <c r="P100" s="664"/>
      <c r="Q100" s="664"/>
      <c r="R100" s="664"/>
      <c r="S100" s="664"/>
      <c r="T100" s="664"/>
      <c r="U100" s="664"/>
      <c r="V100" s="355" t="s">
        <v>411</v>
      </c>
      <c r="W100" s="161"/>
    </row>
    <row r="101" spans="2:23" s="155" customFormat="1" ht="7.5" customHeight="1" x14ac:dyDescent="0.25">
      <c r="B101" s="161"/>
      <c r="C101" s="684"/>
      <c r="D101" s="685"/>
      <c r="E101" s="685"/>
      <c r="F101" s="685"/>
      <c r="G101" s="685"/>
      <c r="H101" s="685"/>
      <c r="I101" s="685"/>
      <c r="J101" s="685"/>
      <c r="K101" s="685"/>
      <c r="L101" s="685"/>
      <c r="M101" s="685"/>
      <c r="N101" s="685"/>
      <c r="O101" s="685"/>
      <c r="P101" s="685"/>
      <c r="Q101" s="685"/>
      <c r="R101" s="685"/>
      <c r="S101" s="685"/>
      <c r="T101" s="685"/>
      <c r="U101" s="685"/>
      <c r="V101" s="686"/>
      <c r="W101" s="161"/>
    </row>
    <row r="102" spans="2:23" s="155" customFormat="1" ht="142.5" customHeight="1" x14ac:dyDescent="0.25">
      <c r="B102" s="161"/>
      <c r="C102" s="679" t="str">
        <f>'Tariff Calculator'!C3</f>
        <v>5.1 Tariff Calculator</v>
      </c>
      <c r="D102" s="679"/>
      <c r="E102" s="679"/>
      <c r="F102" s="679"/>
      <c r="G102" s="679"/>
      <c r="H102" s="679"/>
      <c r="I102" s="664" t="s">
        <v>423</v>
      </c>
      <c r="J102" s="664"/>
      <c r="K102" s="664"/>
      <c r="L102" s="664"/>
      <c r="M102" s="664"/>
      <c r="N102" s="664"/>
      <c r="O102" s="664"/>
      <c r="P102" s="664"/>
      <c r="Q102" s="664"/>
      <c r="R102" s="664"/>
      <c r="S102" s="664"/>
      <c r="T102" s="664"/>
      <c r="U102" s="664"/>
      <c r="V102" s="355" t="s">
        <v>429</v>
      </c>
      <c r="W102" s="161"/>
    </row>
    <row r="103" spans="2:23" s="155" customFormat="1" ht="7.5" customHeight="1" x14ac:dyDescent="0.25">
      <c r="B103" s="161"/>
      <c r="C103" s="684"/>
      <c r="D103" s="685"/>
      <c r="E103" s="685"/>
      <c r="F103" s="685"/>
      <c r="G103" s="685"/>
      <c r="H103" s="685"/>
      <c r="I103" s="685"/>
      <c r="J103" s="685"/>
      <c r="K103" s="685"/>
      <c r="L103" s="685"/>
      <c r="M103" s="685"/>
      <c r="N103" s="685"/>
      <c r="O103" s="685"/>
      <c r="P103" s="685"/>
      <c r="Q103" s="685"/>
      <c r="R103" s="685"/>
      <c r="S103" s="685"/>
      <c r="T103" s="685"/>
      <c r="U103" s="685"/>
      <c r="V103" s="686"/>
      <c r="W103" s="161"/>
    </row>
    <row r="104" spans="2:23" s="155" customFormat="1" ht="24" customHeight="1" x14ac:dyDescent="0.25">
      <c r="B104" s="161"/>
      <c r="C104" s="679" t="str">
        <f>'Loan Repayment'!C3</f>
        <v>5.2 Loan Repayment</v>
      </c>
      <c r="D104" s="679"/>
      <c r="E104" s="679"/>
      <c r="F104" s="679"/>
      <c r="G104" s="679"/>
      <c r="H104" s="679"/>
      <c r="I104" s="664" t="s">
        <v>428</v>
      </c>
      <c r="J104" s="664"/>
      <c r="K104" s="664"/>
      <c r="L104" s="664"/>
      <c r="M104" s="664"/>
      <c r="N104" s="664"/>
      <c r="O104" s="664"/>
      <c r="P104" s="664"/>
      <c r="Q104" s="664"/>
      <c r="R104" s="664"/>
      <c r="S104" s="664"/>
      <c r="T104" s="664"/>
      <c r="U104" s="664"/>
      <c r="V104" s="355" t="s">
        <v>430</v>
      </c>
      <c r="W104" s="161"/>
    </row>
    <row r="105" spans="2:23" s="155" customFormat="1" ht="7.5" customHeight="1" x14ac:dyDescent="0.25">
      <c r="B105" s="161"/>
      <c r="C105" s="684"/>
      <c r="D105" s="685"/>
      <c r="E105" s="685"/>
      <c r="F105" s="685"/>
      <c r="G105" s="685"/>
      <c r="H105" s="685"/>
      <c r="I105" s="685"/>
      <c r="J105" s="685"/>
      <c r="K105" s="685"/>
      <c r="L105" s="685"/>
      <c r="M105" s="685"/>
      <c r="N105" s="685"/>
      <c r="O105" s="685"/>
      <c r="P105" s="685"/>
      <c r="Q105" s="685"/>
      <c r="R105" s="685"/>
      <c r="S105" s="685"/>
      <c r="T105" s="685"/>
      <c r="U105" s="685"/>
      <c r="V105" s="686"/>
      <c r="W105" s="161"/>
    </row>
    <row r="106" spans="2:23" s="155" customFormat="1" ht="142.5" customHeight="1" x14ac:dyDescent="0.25">
      <c r="B106" s="161"/>
      <c r="C106" s="679" t="str">
        <f>Financials!C3</f>
        <v>5.3 Financials</v>
      </c>
      <c r="D106" s="679"/>
      <c r="E106" s="679"/>
      <c r="F106" s="679"/>
      <c r="G106" s="679"/>
      <c r="H106" s="679"/>
      <c r="I106" s="664" t="s">
        <v>427</v>
      </c>
      <c r="J106" s="664"/>
      <c r="K106" s="664"/>
      <c r="L106" s="664"/>
      <c r="M106" s="664"/>
      <c r="N106" s="664"/>
      <c r="O106" s="664"/>
      <c r="P106" s="664"/>
      <c r="Q106" s="664"/>
      <c r="R106" s="664"/>
      <c r="S106" s="664"/>
      <c r="T106" s="664"/>
      <c r="U106" s="664"/>
      <c r="V106" s="355" t="s">
        <v>431</v>
      </c>
      <c r="W106" s="161"/>
    </row>
    <row r="107" spans="2:23" ht="7.5" customHeight="1" x14ac:dyDescent="0.25">
      <c r="B107" s="159"/>
      <c r="C107" s="666"/>
      <c r="D107" s="667"/>
      <c r="E107" s="667"/>
      <c r="F107" s="667"/>
      <c r="G107" s="667"/>
      <c r="H107" s="667"/>
      <c r="I107" s="667"/>
      <c r="J107" s="667"/>
      <c r="K107" s="667"/>
      <c r="L107" s="667"/>
      <c r="M107" s="667"/>
      <c r="N107" s="667"/>
      <c r="O107" s="667"/>
      <c r="P107" s="667"/>
      <c r="Q107" s="667"/>
      <c r="R107" s="667"/>
      <c r="S107" s="667"/>
      <c r="T107" s="667"/>
      <c r="U107" s="667"/>
      <c r="V107" s="668"/>
      <c r="W107" s="159"/>
    </row>
    <row r="108" spans="2:23" s="155" customFormat="1" ht="213" customHeight="1" x14ac:dyDescent="0.25">
      <c r="B108" s="161"/>
      <c r="C108" s="683" t="str">
        <f>'Outputs Summary'!C3</f>
        <v>6.1 Output Summary</v>
      </c>
      <c r="D108" s="683"/>
      <c r="E108" s="683"/>
      <c r="F108" s="683"/>
      <c r="G108" s="683"/>
      <c r="H108" s="683"/>
      <c r="I108" s="664" t="s">
        <v>602</v>
      </c>
      <c r="J108" s="664"/>
      <c r="K108" s="664"/>
      <c r="L108" s="664"/>
      <c r="M108" s="664"/>
      <c r="N108" s="664"/>
      <c r="O108" s="664"/>
      <c r="P108" s="664"/>
      <c r="Q108" s="664"/>
      <c r="R108" s="664"/>
      <c r="S108" s="664"/>
      <c r="T108" s="664"/>
      <c r="U108" s="664"/>
      <c r="V108" s="355" t="s">
        <v>434</v>
      </c>
      <c r="W108" s="161"/>
    </row>
    <row r="109" spans="2:23" s="155" customFormat="1" ht="7.5" customHeight="1" x14ac:dyDescent="0.25">
      <c r="B109" s="161"/>
      <c r="C109" s="684"/>
      <c r="D109" s="685"/>
      <c r="E109" s="685"/>
      <c r="F109" s="685"/>
      <c r="G109" s="685"/>
      <c r="H109" s="685"/>
      <c r="I109" s="685"/>
      <c r="J109" s="685"/>
      <c r="K109" s="685"/>
      <c r="L109" s="685"/>
      <c r="M109" s="685"/>
      <c r="N109" s="685"/>
      <c r="O109" s="685"/>
      <c r="P109" s="685"/>
      <c r="Q109" s="685"/>
      <c r="R109" s="685"/>
      <c r="S109" s="685"/>
      <c r="T109" s="685"/>
      <c r="U109" s="685"/>
      <c r="V109" s="686"/>
      <c r="W109" s="161"/>
    </row>
    <row r="110" spans="2:23" s="155" customFormat="1" ht="71.25" customHeight="1" x14ac:dyDescent="0.25">
      <c r="B110" s="161"/>
      <c r="C110" s="683" t="str">
        <f>Sensitivity!C3</f>
        <v>6.2 Sensitivity Analysis (Worst &amp; Best Case Scenarios)</v>
      </c>
      <c r="D110" s="683"/>
      <c r="E110" s="683"/>
      <c r="F110" s="683"/>
      <c r="G110" s="683"/>
      <c r="H110" s="683"/>
      <c r="I110" s="664" t="s">
        <v>448</v>
      </c>
      <c r="J110" s="664"/>
      <c r="K110" s="664"/>
      <c r="L110" s="664"/>
      <c r="M110" s="664"/>
      <c r="N110" s="664"/>
      <c r="O110" s="664"/>
      <c r="P110" s="664"/>
      <c r="Q110" s="664"/>
      <c r="R110" s="664"/>
      <c r="S110" s="664"/>
      <c r="T110" s="664"/>
      <c r="U110" s="664"/>
      <c r="V110" s="355" t="s">
        <v>433</v>
      </c>
      <c r="W110" s="161"/>
    </row>
    <row r="111" spans="2:23" ht="15" customHeight="1" x14ac:dyDescent="0.25">
      <c r="B111" s="159"/>
      <c r="C111" s="659"/>
      <c r="D111" s="659"/>
      <c r="E111" s="160"/>
      <c r="F111" s="159"/>
      <c r="G111" s="159"/>
      <c r="H111" s="159"/>
      <c r="I111" s="159"/>
      <c r="J111" s="159"/>
      <c r="K111" s="159"/>
      <c r="L111" s="159"/>
      <c r="M111" s="159"/>
      <c r="N111" s="159"/>
      <c r="O111" s="159"/>
      <c r="P111" s="159"/>
      <c r="Q111" s="159"/>
      <c r="R111" s="159"/>
      <c r="S111" s="159"/>
      <c r="T111" s="159"/>
      <c r="U111" s="159"/>
      <c r="V111" s="561"/>
      <c r="W111" s="159"/>
    </row>
    <row r="112" spans="2:23" x14ac:dyDescent="0.25">
      <c r="B112" s="159"/>
      <c r="C112" s="656" t="s">
        <v>604</v>
      </c>
      <c r="D112" s="656"/>
      <c r="E112" s="657"/>
      <c r="F112" s="657"/>
      <c r="G112" s="657"/>
      <c r="H112" s="657"/>
      <c r="I112" s="658"/>
      <c r="J112" s="658"/>
      <c r="K112" s="658"/>
      <c r="L112" s="658"/>
      <c r="M112" s="658"/>
      <c r="N112" s="658"/>
      <c r="O112" s="658"/>
      <c r="P112" s="658"/>
      <c r="Q112" s="658"/>
      <c r="R112" s="658"/>
      <c r="S112" s="658"/>
      <c r="T112" s="658"/>
      <c r="U112" s="658"/>
      <c r="V112" s="658"/>
      <c r="W112" s="159"/>
    </row>
    <row r="113" spans="3:4" x14ac:dyDescent="0.25">
      <c r="C113" s="662"/>
      <c r="D113" s="663"/>
    </row>
  </sheetData>
  <sheetProtection sheet="1" formatCells="0" insertHyperlinks="0"/>
  <mergeCells count="105">
    <mergeCell ref="C64:J64"/>
    <mergeCell ref="D66:V66"/>
    <mergeCell ref="E59:V59"/>
    <mergeCell ref="E60:V60"/>
    <mergeCell ref="E61:V61"/>
    <mergeCell ref="E54:F54"/>
    <mergeCell ref="E52:F52"/>
    <mergeCell ref="E50:F50"/>
    <mergeCell ref="E48:F48"/>
    <mergeCell ref="E42:F42"/>
    <mergeCell ref="E44:F44"/>
    <mergeCell ref="E46:F46"/>
    <mergeCell ref="I110:U110"/>
    <mergeCell ref="C110:H110"/>
    <mergeCell ref="C84:V84"/>
    <mergeCell ref="C97:V97"/>
    <mergeCell ref="C101:V101"/>
    <mergeCell ref="C99:V99"/>
    <mergeCell ref="C109:V109"/>
    <mergeCell ref="C107:V107"/>
    <mergeCell ref="C105:V105"/>
    <mergeCell ref="C103:V103"/>
    <mergeCell ref="I104:U104"/>
    <mergeCell ref="C104:H104"/>
    <mergeCell ref="I106:U106"/>
    <mergeCell ref="C106:H106"/>
    <mergeCell ref="I108:U108"/>
    <mergeCell ref="C108:H108"/>
    <mergeCell ref="I98:U98"/>
    <mergeCell ref="C98:H98"/>
    <mergeCell ref="I100:U100"/>
    <mergeCell ref="C100:H100"/>
    <mergeCell ref="I102:U102"/>
    <mergeCell ref="I89:U89"/>
    <mergeCell ref="C89:H89"/>
    <mergeCell ref="I83:U83"/>
    <mergeCell ref="C83:H83"/>
    <mergeCell ref="I85:U85"/>
    <mergeCell ref="C85:H85"/>
    <mergeCell ref="I86:U86"/>
    <mergeCell ref="C86:H86"/>
    <mergeCell ref="C102:H102"/>
    <mergeCell ref="I94:U94"/>
    <mergeCell ref="C94:H94"/>
    <mergeCell ref="I95:U95"/>
    <mergeCell ref="C95:H95"/>
    <mergeCell ref="I96:U96"/>
    <mergeCell ref="C96:H96"/>
    <mergeCell ref="I91:U91"/>
    <mergeCell ref="C91:H91"/>
    <mergeCell ref="I92:U92"/>
    <mergeCell ref="C92:H92"/>
    <mergeCell ref="I93:U93"/>
    <mergeCell ref="C93:H93"/>
    <mergeCell ref="C90:H90"/>
    <mergeCell ref="I90:U90"/>
    <mergeCell ref="C71:H71"/>
    <mergeCell ref="C72:H72"/>
    <mergeCell ref="C73:H73"/>
    <mergeCell ref="C74:H74"/>
    <mergeCell ref="V71:V75"/>
    <mergeCell ref="I87:U87"/>
    <mergeCell ref="C87:H87"/>
    <mergeCell ref="I88:U88"/>
    <mergeCell ref="C88:H88"/>
    <mergeCell ref="E33:F33"/>
    <mergeCell ref="H33:U35"/>
    <mergeCell ref="E34:F34"/>
    <mergeCell ref="E35:F35"/>
    <mergeCell ref="E37:F37"/>
    <mergeCell ref="H37:U38"/>
    <mergeCell ref="E38:F38"/>
    <mergeCell ref="D19:V20"/>
    <mergeCell ref="D22:V22"/>
    <mergeCell ref="E26:F26"/>
    <mergeCell ref="H26:U26"/>
    <mergeCell ref="E28:F28"/>
    <mergeCell ref="H28:U31"/>
    <mergeCell ref="E29:F29"/>
    <mergeCell ref="E30:F30"/>
    <mergeCell ref="E31:F31"/>
    <mergeCell ref="C112:V112"/>
    <mergeCell ref="C111:D111"/>
    <mergeCell ref="C67:D67"/>
    <mergeCell ref="C70:H70"/>
    <mergeCell ref="C78:H78"/>
    <mergeCell ref="C79:H79"/>
    <mergeCell ref="C113:D113"/>
    <mergeCell ref="I70:U70"/>
    <mergeCell ref="I78:U78"/>
    <mergeCell ref="I79:U79"/>
    <mergeCell ref="I80:U80"/>
    <mergeCell ref="C80:H80"/>
    <mergeCell ref="I81:U81"/>
    <mergeCell ref="C81:H81"/>
    <mergeCell ref="I82:U82"/>
    <mergeCell ref="C82:H82"/>
    <mergeCell ref="I68:U68"/>
    <mergeCell ref="C68:H68"/>
    <mergeCell ref="C75:H75"/>
    <mergeCell ref="I76:U77"/>
    <mergeCell ref="C76:H76"/>
    <mergeCell ref="C77:H77"/>
    <mergeCell ref="C69:V69"/>
    <mergeCell ref="I71:U75"/>
  </mergeCells>
  <hyperlinks>
    <hyperlink ref="C70" location="'Capital Costs Details'!A1" display="1. Capital Cost Details"/>
    <hyperlink ref="C71" location="'Capital Costs Details'!A4" display="a) Solar Generation (Gx) Costs Details by line item"/>
    <hyperlink ref="C72" location="'Capital Costs Details'!A27" display="b) Wind Gx Cost Costs Details by line item"/>
    <hyperlink ref="C73" location="'Capital Costs Details'!A58" display="c) Generator Gx Cost Costs Details"/>
    <hyperlink ref="C74" location="'Capital Costs Details'!A77" display="d) Micro, Mini and Small Hydro Gx Costs Details"/>
    <hyperlink ref="C75" location="'Capital Costs Details'!A97" display="e) Biomass Gx Costs Details"/>
    <hyperlink ref="C76" location="'Capital Costs Details'!A118" display="f) Distribution Costs Details"/>
    <hyperlink ref="C77" location="'Capital Costs Details'!A126" display="g) Retail Metering and Reticulation"/>
    <hyperlink ref="C78" location="'Capital Costs Details'!A136" display="h) General PPE"/>
    <hyperlink ref="C79" location="'Capital Costs Details'!A144" display="1.9. Total Project Capital Costs"/>
    <hyperlink ref="C82" location="'Capital Costs Details'!A158" display="'Capital Costs Details'!A158"/>
    <hyperlink ref="C80" location="'Capital Costs Details'!A146" display="1.10. Financing Costs During Construction"/>
    <hyperlink ref="C85" location="'Tariff Inputs'!A1" display="2. Tariff Inputs (Building Blocks)"/>
    <hyperlink ref="C108" location="'Outputs Summary'!A1" display="'Outputs Summary'!A1"/>
    <hyperlink ref="C102" location="'Tariff Calculator'!A1" display="'Tariff Calculator'!A1"/>
    <hyperlink ref="C98" location="'Loan drawdown'!A1" display="'Loan drawdown'!A1"/>
    <hyperlink ref="C106" location="Financials!A1" display="Financials!A1"/>
    <hyperlink ref="C100" location="'Load Profile'!A1" display="7. Load Profile"/>
    <hyperlink ref="C110" location="'Sentivity Analysis'!Print_Area" display="'Sentivity Analysis'!Print_Area"/>
    <hyperlink ref="C86" location="'Tariff Inputs'!A2" display="'Tariff Inputs'!A2"/>
    <hyperlink ref="C87" location="'Tariff Inputs'!A15" display="'Tariff Inputs'!A15"/>
    <hyperlink ref="C88" location="'Tariff Inputs'!A20" display="'Tariff Inputs'!A20"/>
    <hyperlink ref="C89" location="'Tariff Inputs'!A51" display="'Tariff Inputs'!A51"/>
    <hyperlink ref="C91" location="'Tariff Inputs'!A63" display="'Tariff Inputs'!A63"/>
    <hyperlink ref="C92" location="'Tariff Inputs'!A68" display="'Tariff Inputs'!A68"/>
    <hyperlink ref="C93" location="'Tariff Inputs'!A74" display="'Tariff Inputs'!A74"/>
    <hyperlink ref="C94" location="'Tariff Inputs'!A82" display="'Tariff Inputs'!A82"/>
    <hyperlink ref="C95" location="'Tariff Inputs'!A89" display="'Tariff Inputs'!A89"/>
    <hyperlink ref="C96" location="'Tariff Inputs'!A102" display="'Tariff Inputs'!A102"/>
    <hyperlink ref="C81" location="'Capital Costs Details'!A151" display="'Capital Costs Details'!A151"/>
    <hyperlink ref="C104" location="'Loan repayment'!A1" display="'Loan repayment'!A1"/>
    <hyperlink ref="C83" location="'Capital Costs Details'!G1" display="'Capital Costs Details'!G1"/>
    <hyperlink ref="C70:H70" location="'Capital Costs Details'!C5" display="'Capital Costs Details'!C5"/>
    <hyperlink ref="C71:H71" location="'Capital Costs Details'!C8" display="'Capital Costs Details'!C8"/>
    <hyperlink ref="C72:H72" location="'Capital Costs Details'!C31" display="'Capital Costs Details'!C31"/>
    <hyperlink ref="C73:H73" location="'Capital Costs Details'!C62" display="'Capital Costs Details'!C62"/>
    <hyperlink ref="C74:H74" location="'Capital Costs Details'!C81" display="'Capital Costs Details'!C81"/>
    <hyperlink ref="C75:H75" location="'Capital Costs Details'!C101" display="'Capital Costs Details'!C101"/>
    <hyperlink ref="C76:H76" location="'Capital Costs Details'!C124" display="'Capital Costs Details'!C124"/>
    <hyperlink ref="C77:H77" location="'Capital Costs Details'!C132" display="'Capital Costs Details'!C132"/>
    <hyperlink ref="C78:H78" location="'Capital Costs Details'!C142" display="'Capital Costs Details'!C142"/>
    <hyperlink ref="C79:H79" location="'Capital Costs Details'!C151" display="'Capital Costs Details'!C151"/>
    <hyperlink ref="C80:H80" location="'Capital Costs Details'!C153" display="'Capital Costs Details'!C153"/>
    <hyperlink ref="C81:H81" location="'Capital Costs Details'!C158" display="'Capital Costs Details'!C158"/>
    <hyperlink ref="C82:H82" location="'Capital Costs Details'!C165" display="'Capital Costs Details'!C165"/>
    <hyperlink ref="C83:H83" location="'Capital Costs Details'!I5" display="'Capital Costs Details'!I5"/>
    <hyperlink ref="C85:H85" location="'Tariff Inputs'!C3" display="'Tariff Inputs'!C3"/>
    <hyperlink ref="C86:H86" location="'Tariff Inputs'!C5" display="'Tariff Inputs'!C5"/>
    <hyperlink ref="C87:H87" location="'Tariff Inputs'!C19" display="'Tariff Inputs'!C19"/>
    <hyperlink ref="C88:H88" location="'Tariff Inputs'!C24" display="'Tariff Inputs'!C24"/>
    <hyperlink ref="C89:H89" location="'Tariff Inputs'!C56" display="'Tariff Inputs'!C56"/>
    <hyperlink ref="C91:H91" location="'Tariff Inputs'!C70" display="'Tariff Inputs'!C70"/>
    <hyperlink ref="C92:H92" location="'Tariff Inputs'!C75" display="'Tariff Inputs'!C75"/>
    <hyperlink ref="C93:H93" location="'Tariff Inputs'!C81" display="'Tariff Inputs'!C81"/>
    <hyperlink ref="C94:H94" location="'Tariff Inputs'!C89" display="'Tariff Inputs'!C89"/>
    <hyperlink ref="C95:H95" location="'Tariff Inputs'!C96" display="'Tariff Inputs'!C96"/>
    <hyperlink ref="C96:H96" location="'Tariff Inputs'!C108" display="'Tariff Inputs'!C108"/>
    <hyperlink ref="C98:H98" location="'Loan Drawdown'!C3" display="'Loan Drawdown'!C3"/>
    <hyperlink ref="C100:H100" location="'Load Profile'!C3" display="'Load Profile'!C3"/>
    <hyperlink ref="C102:H102" location="'Tariff Calculator'!C3" display="'Tariff Calculator'!C3"/>
    <hyperlink ref="C104:H104" location="'Loan Repayment'!C3" display="'Loan Repayment'!C3"/>
    <hyperlink ref="C106:H106" location="Financials!C3" display="Financials!C3"/>
    <hyperlink ref="C108:H108" location="'Outputs Summary'!C3" display="'Outputs Summary'!C3"/>
    <hyperlink ref="C110:H110" location="Sensitivity!C3" display="Sensitivity!C3"/>
    <hyperlink ref="C90" location="'Tariff Inputs'!A63" display="'Tariff Inputs'!A63"/>
    <hyperlink ref="C90:H90" location="'Tariff Inputs'!C62" display="'Tariff Inputs'!C62"/>
  </hyperlinks>
  <pageMargins left="0.70866141732283472" right="0.70866141732283472" top="0.74803149606299213" bottom="0.74803149606299213" header="0.31496062992125984" footer="0.31496062992125984"/>
  <pageSetup scale="64" fitToHeight="0" orientation="landscape" r:id="rId1"/>
  <headerFooter>
    <oddHeader>&amp;C&amp;A</oddHeader>
    <oddFooter>&amp;CPage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N77"/>
  <sheetViews>
    <sheetView showGridLines="0" topLeftCell="A11" zoomScaleNormal="100" workbookViewId="0">
      <selection activeCell="K11" sqref="K11"/>
    </sheetView>
  </sheetViews>
  <sheetFormatPr defaultColWidth="9.140625" defaultRowHeight="15" x14ac:dyDescent="0.25"/>
  <cols>
    <col min="1" max="2" width="1.42578125" style="303" customWidth="1"/>
    <col min="3" max="3" width="9" style="303" customWidth="1"/>
    <col min="4" max="4" width="34.5703125" style="303" customWidth="1"/>
    <col min="5" max="12" width="14.28515625" style="303" customWidth="1"/>
    <col min="13" max="13" width="4" style="303" customWidth="1"/>
    <col min="14" max="14" width="10" style="303" bestFit="1" customWidth="1"/>
    <col min="15" max="16384" width="9.140625" style="303"/>
  </cols>
  <sheetData>
    <row r="1" spans="2:14" ht="7.5" customHeight="1" x14ac:dyDescent="0.25"/>
    <row r="2" spans="2:14" ht="7.5" customHeight="1" x14ac:dyDescent="0.25">
      <c r="B2" s="144"/>
      <c r="C2" s="144"/>
      <c r="D2" s="144"/>
      <c r="E2" s="144"/>
      <c r="F2" s="144"/>
      <c r="G2" s="144"/>
      <c r="H2" s="144"/>
      <c r="I2" s="144"/>
      <c r="J2" s="144"/>
      <c r="K2" s="144"/>
      <c r="L2" s="144"/>
      <c r="M2" s="144"/>
      <c r="N2" s="144"/>
    </row>
    <row r="3" spans="2:14" ht="15" customHeight="1" x14ac:dyDescent="0.3">
      <c r="B3" s="144"/>
      <c r="C3" s="145" t="s">
        <v>547</v>
      </c>
      <c r="D3" s="145"/>
      <c r="E3" s="144"/>
      <c r="F3" s="144"/>
      <c r="G3" s="144"/>
      <c r="H3" s="144"/>
      <c r="I3" s="144"/>
      <c r="J3" s="144"/>
      <c r="K3" s="144"/>
      <c r="L3" s="144"/>
      <c r="M3" s="144"/>
      <c r="N3" s="144"/>
    </row>
    <row r="4" spans="2:14" ht="15" customHeight="1" x14ac:dyDescent="0.25">
      <c r="B4" s="144"/>
      <c r="C4" s="144"/>
      <c r="D4" s="144"/>
      <c r="E4" s="144"/>
      <c r="F4" s="144"/>
      <c r="G4" s="144"/>
      <c r="H4" s="144"/>
      <c r="I4" s="144"/>
      <c r="J4" s="144"/>
      <c r="K4" s="144"/>
      <c r="L4" s="144"/>
      <c r="M4" s="144"/>
      <c r="N4" s="144"/>
    </row>
    <row r="5" spans="2:14" x14ac:dyDescent="0.25">
      <c r="B5" s="144"/>
      <c r="C5" s="146" t="s">
        <v>509</v>
      </c>
      <c r="D5" s="146"/>
      <c r="E5" s="144"/>
      <c r="F5" s="144"/>
      <c r="G5" s="144"/>
      <c r="H5" s="144"/>
      <c r="I5" s="144"/>
      <c r="J5" s="144"/>
      <c r="K5" s="144"/>
      <c r="L5" s="144"/>
      <c r="M5" s="144"/>
      <c r="N5" s="144"/>
    </row>
    <row r="6" spans="2:14" x14ac:dyDescent="0.25">
      <c r="B6" s="144"/>
      <c r="C6" s="366" t="s">
        <v>454</v>
      </c>
      <c r="D6" s="366"/>
      <c r="E6" s="144"/>
      <c r="F6" s="144"/>
      <c r="G6" s="144"/>
      <c r="H6" s="144"/>
      <c r="I6" s="144"/>
      <c r="J6" s="144"/>
      <c r="K6" s="144"/>
      <c r="L6" s="144"/>
      <c r="M6" s="144"/>
      <c r="N6" s="144"/>
    </row>
    <row r="7" spans="2:14" x14ac:dyDescent="0.25">
      <c r="B7" s="144"/>
      <c r="C7" s="366" t="s">
        <v>452</v>
      </c>
      <c r="D7" s="366"/>
      <c r="E7" s="144"/>
      <c r="F7" s="144"/>
      <c r="G7" s="144"/>
      <c r="H7" s="144"/>
      <c r="I7" s="144"/>
      <c r="J7" s="144"/>
      <c r="K7" s="144"/>
      <c r="L7" s="144"/>
      <c r="M7" s="144"/>
      <c r="N7" s="144"/>
    </row>
    <row r="8" spans="2:14" x14ac:dyDescent="0.25">
      <c r="B8" s="144"/>
      <c r="C8" s="366" t="s">
        <v>453</v>
      </c>
      <c r="D8" s="366"/>
      <c r="E8" s="144"/>
      <c r="F8" s="144"/>
      <c r="G8" s="144"/>
      <c r="H8" s="144"/>
      <c r="I8" s="144"/>
      <c r="J8" s="144"/>
      <c r="K8" s="144"/>
      <c r="L8" s="144"/>
      <c r="M8" s="144"/>
      <c r="N8" s="144"/>
    </row>
    <row r="9" spans="2:14" x14ac:dyDescent="0.25">
      <c r="B9" s="144"/>
      <c r="C9" s="366" t="s">
        <v>455</v>
      </c>
      <c r="D9" s="366"/>
      <c r="E9" s="144"/>
      <c r="F9" s="144"/>
      <c r="G9" s="144"/>
      <c r="H9" s="144"/>
      <c r="I9" s="144"/>
      <c r="J9" s="144"/>
      <c r="K9" s="144"/>
      <c r="L9" s="144"/>
      <c r="M9" s="144"/>
      <c r="N9" s="144"/>
    </row>
    <row r="10" spans="2:14" x14ac:dyDescent="0.25">
      <c r="B10" s="144"/>
      <c r="C10" s="366" t="s">
        <v>456</v>
      </c>
      <c r="D10" s="366"/>
      <c r="E10" s="144"/>
      <c r="F10" s="144"/>
      <c r="G10" s="144"/>
      <c r="H10" s="144"/>
      <c r="I10" s="144"/>
      <c r="J10" s="144"/>
      <c r="K10" s="144"/>
      <c r="L10" s="144"/>
      <c r="M10" s="144"/>
      <c r="N10" s="144"/>
    </row>
    <row r="11" spans="2:14" x14ac:dyDescent="0.25">
      <c r="B11" s="144"/>
      <c r="C11" s="366" t="s">
        <v>457</v>
      </c>
      <c r="D11" s="366"/>
      <c r="E11" s="144"/>
      <c r="F11" s="144"/>
      <c r="G11" s="144"/>
      <c r="H11" s="144"/>
      <c r="I11" s="144"/>
      <c r="J11" s="144"/>
      <c r="K11" s="144"/>
      <c r="L11" s="144"/>
      <c r="M11" s="144"/>
      <c r="N11" s="144"/>
    </row>
    <row r="12" spans="2:14" x14ac:dyDescent="0.25">
      <c r="B12" s="144"/>
      <c r="C12" s="367"/>
      <c r="D12" s="367"/>
      <c r="E12" s="144"/>
      <c r="F12" s="144"/>
      <c r="G12" s="144"/>
      <c r="H12" s="144"/>
      <c r="I12" s="144"/>
      <c r="J12" s="144"/>
      <c r="K12" s="144"/>
      <c r="L12" s="144"/>
      <c r="M12" s="144"/>
      <c r="N12" s="144"/>
    </row>
    <row r="13" spans="2:14" x14ac:dyDescent="0.25">
      <c r="B13" s="144"/>
      <c r="C13" s="790" t="s">
        <v>451</v>
      </c>
      <c r="D13" s="791"/>
      <c r="E13" s="368"/>
      <c r="F13" s="368"/>
      <c r="G13" s="368"/>
      <c r="H13" s="144"/>
      <c r="I13" s="144"/>
      <c r="J13" s="144"/>
      <c r="K13" s="144"/>
      <c r="L13" s="144"/>
      <c r="M13" s="144"/>
      <c r="N13" s="144"/>
    </row>
    <row r="14" spans="2:14" ht="15.75" x14ac:dyDescent="0.25">
      <c r="B14" s="144"/>
      <c r="C14" s="747" t="s">
        <v>184</v>
      </c>
      <c r="D14" s="748"/>
      <c r="E14" s="344"/>
      <c r="F14" s="344"/>
      <c r="G14" s="344"/>
      <c r="H14" s="344"/>
      <c r="I14" s="344"/>
      <c r="J14" s="344"/>
      <c r="K14" s="344"/>
      <c r="L14" s="344"/>
      <c r="M14" s="144"/>
      <c r="N14" s="144"/>
    </row>
    <row r="15" spans="2:14" ht="36" customHeight="1" x14ac:dyDescent="0.25">
      <c r="B15" s="144"/>
      <c r="C15" s="749" t="s">
        <v>517</v>
      </c>
      <c r="D15" s="750"/>
      <c r="E15" s="762" t="s">
        <v>182</v>
      </c>
      <c r="F15" s="763"/>
      <c r="G15" s="763"/>
      <c r="H15" s="764"/>
      <c r="I15" s="762" t="s">
        <v>183</v>
      </c>
      <c r="J15" s="763"/>
      <c r="K15" s="763"/>
      <c r="L15" s="764"/>
      <c r="M15" s="144"/>
      <c r="N15" s="144"/>
    </row>
    <row r="16" spans="2:14" x14ac:dyDescent="0.25">
      <c r="B16" s="144"/>
      <c r="C16" s="751"/>
      <c r="D16" s="752"/>
      <c r="E16" s="355" t="s">
        <v>563</v>
      </c>
      <c r="F16" s="355" t="s">
        <v>563</v>
      </c>
      <c r="G16" s="355" t="s">
        <v>563</v>
      </c>
      <c r="H16" s="355" t="s">
        <v>563</v>
      </c>
      <c r="I16" s="355" t="s">
        <v>563</v>
      </c>
      <c r="J16" s="355" t="s">
        <v>563</v>
      </c>
      <c r="K16" s="355" t="s">
        <v>563</v>
      </c>
      <c r="L16" s="355" t="s">
        <v>563</v>
      </c>
      <c r="M16" s="144"/>
      <c r="N16" s="144"/>
    </row>
    <row r="17" spans="2:14" ht="7.5" customHeight="1" x14ac:dyDescent="0.25">
      <c r="B17" s="144"/>
      <c r="C17" s="765"/>
      <c r="D17" s="766"/>
      <c r="E17" s="766"/>
      <c r="F17" s="766"/>
      <c r="G17" s="766"/>
      <c r="H17" s="766"/>
      <c r="I17" s="766"/>
      <c r="J17" s="766"/>
      <c r="K17" s="766"/>
      <c r="L17" s="767"/>
      <c r="M17" s="144"/>
      <c r="N17" s="144"/>
    </row>
    <row r="18" spans="2:14" x14ac:dyDescent="0.25">
      <c r="B18" s="144"/>
      <c r="C18" s="753" t="s">
        <v>572</v>
      </c>
      <c r="D18" s="754"/>
      <c r="E18" s="357" t="s">
        <v>251</v>
      </c>
      <c r="F18" s="357" t="s">
        <v>253</v>
      </c>
      <c r="G18" s="357" t="s">
        <v>252</v>
      </c>
      <c r="H18" s="357" t="s">
        <v>255</v>
      </c>
      <c r="I18" s="357" t="s">
        <v>251</v>
      </c>
      <c r="J18" s="357" t="s">
        <v>253</v>
      </c>
      <c r="K18" s="357" t="s">
        <v>252</v>
      </c>
      <c r="L18" s="357" t="s">
        <v>255</v>
      </c>
      <c r="M18" s="144"/>
      <c r="N18" s="144"/>
    </row>
    <row r="19" spans="2:14" x14ac:dyDescent="0.25">
      <c r="B19" s="144"/>
      <c r="C19" s="565"/>
      <c r="D19" s="566" t="s">
        <v>550</v>
      </c>
      <c r="E19" s="567"/>
      <c r="F19" s="568"/>
      <c r="G19" s="567"/>
      <c r="H19" s="567"/>
      <c r="I19" s="567"/>
      <c r="J19" s="567"/>
      <c r="K19" s="567"/>
      <c r="L19" s="567"/>
      <c r="M19" s="144"/>
      <c r="N19" s="144"/>
    </row>
    <row r="20" spans="2:14" s="339" customFormat="1" x14ac:dyDescent="0.25">
      <c r="B20" s="346"/>
      <c r="C20" s="569"/>
      <c r="D20" s="570" t="s">
        <v>265</v>
      </c>
      <c r="E20" s="571"/>
      <c r="F20" s="572"/>
      <c r="G20" s="573"/>
      <c r="H20" s="573"/>
      <c r="I20" s="567"/>
      <c r="J20" s="567"/>
      <c r="K20" s="567"/>
      <c r="L20" s="567"/>
      <c r="M20" s="346"/>
      <c r="N20" s="346"/>
    </row>
    <row r="21" spans="2:14" x14ac:dyDescent="0.25">
      <c r="B21" s="144"/>
      <c r="C21" s="577"/>
      <c r="D21" s="578" t="s">
        <v>551</v>
      </c>
      <c r="E21" s="574"/>
      <c r="F21" s="575"/>
      <c r="G21" s="576"/>
      <c r="H21" s="576"/>
      <c r="I21" s="567"/>
      <c r="J21" s="567"/>
      <c r="K21" s="567"/>
      <c r="L21" s="567"/>
      <c r="M21" s="144"/>
      <c r="N21" s="144"/>
    </row>
    <row r="22" spans="2:14" ht="7.5" customHeight="1" x14ac:dyDescent="0.25">
      <c r="B22" s="144"/>
      <c r="C22" s="768"/>
      <c r="D22" s="769"/>
      <c r="E22" s="770"/>
      <c r="F22" s="770"/>
      <c r="G22" s="770"/>
      <c r="H22" s="770"/>
      <c r="I22" s="770"/>
      <c r="J22" s="770"/>
      <c r="K22" s="770"/>
      <c r="L22" s="771"/>
      <c r="M22" s="144"/>
      <c r="N22" s="144"/>
    </row>
    <row r="23" spans="2:14" x14ac:dyDescent="0.25">
      <c r="B23" s="144"/>
      <c r="C23" s="753" t="s">
        <v>573</v>
      </c>
      <c r="D23" s="754"/>
      <c r="E23" s="357" t="s">
        <v>251</v>
      </c>
      <c r="F23" s="357" t="s">
        <v>253</v>
      </c>
      <c r="G23" s="357" t="s">
        <v>252</v>
      </c>
      <c r="H23" s="357" t="s">
        <v>255</v>
      </c>
      <c r="I23" s="357" t="s">
        <v>251</v>
      </c>
      <c r="J23" s="357" t="s">
        <v>253</v>
      </c>
      <c r="K23" s="357" t="s">
        <v>252</v>
      </c>
      <c r="L23" s="357" t="s">
        <v>255</v>
      </c>
      <c r="M23" s="144"/>
      <c r="N23" s="144"/>
    </row>
    <row r="24" spans="2:14" x14ac:dyDescent="0.25">
      <c r="B24" s="144"/>
      <c r="C24" s="565"/>
      <c r="D24" s="566" t="s">
        <v>550</v>
      </c>
      <c r="E24" s="567"/>
      <c r="F24" s="568"/>
      <c r="G24" s="567"/>
      <c r="H24" s="567"/>
      <c r="I24" s="567"/>
      <c r="J24" s="567"/>
      <c r="K24" s="567"/>
      <c r="L24" s="567"/>
      <c r="M24" s="144"/>
      <c r="N24" s="144"/>
    </row>
    <row r="25" spans="2:14" x14ac:dyDescent="0.25">
      <c r="B25" s="144"/>
      <c r="C25" s="569"/>
      <c r="D25" s="570" t="s">
        <v>265</v>
      </c>
      <c r="E25" s="571"/>
      <c r="F25" s="572"/>
      <c r="G25" s="573"/>
      <c r="H25" s="573"/>
      <c r="I25" s="567"/>
      <c r="J25" s="567"/>
      <c r="K25" s="567"/>
      <c r="L25" s="567"/>
      <c r="M25" s="144"/>
      <c r="N25" s="144"/>
    </row>
    <row r="26" spans="2:14" x14ac:dyDescent="0.25">
      <c r="B26" s="144"/>
      <c r="C26" s="577"/>
      <c r="D26" s="578" t="s">
        <v>551</v>
      </c>
      <c r="E26" s="574"/>
      <c r="F26" s="575"/>
      <c r="G26" s="576"/>
      <c r="H26" s="576"/>
      <c r="I26" s="567"/>
      <c r="J26" s="567"/>
      <c r="K26" s="567"/>
      <c r="L26" s="567"/>
      <c r="M26" s="144"/>
      <c r="N26" s="144"/>
    </row>
    <row r="27" spans="2:14" ht="7.5" customHeight="1" x14ac:dyDescent="0.25">
      <c r="B27" s="144"/>
      <c r="C27" s="768"/>
      <c r="D27" s="769"/>
      <c r="E27" s="770"/>
      <c r="F27" s="770"/>
      <c r="G27" s="770"/>
      <c r="H27" s="770"/>
      <c r="I27" s="770"/>
      <c r="J27" s="770"/>
      <c r="K27" s="770"/>
      <c r="L27" s="771"/>
      <c r="M27" s="144"/>
      <c r="N27" s="144"/>
    </row>
    <row r="28" spans="2:14" x14ac:dyDescent="0.25">
      <c r="B28" s="144"/>
      <c r="C28" s="589"/>
      <c r="D28" s="365" t="s">
        <v>578</v>
      </c>
      <c r="E28" s="564"/>
      <c r="F28" s="359"/>
      <c r="G28" s="358"/>
      <c r="H28" s="358"/>
      <c r="I28" s="358"/>
      <c r="J28" s="358"/>
      <c r="K28" s="358"/>
      <c r="L28" s="358"/>
      <c r="M28" s="144"/>
      <c r="N28" s="144"/>
    </row>
    <row r="29" spans="2:14" ht="7.5" customHeight="1" x14ac:dyDescent="0.25">
      <c r="B29" s="144"/>
      <c r="C29" s="768"/>
      <c r="D29" s="769"/>
      <c r="E29" s="770"/>
      <c r="F29" s="770"/>
      <c r="G29" s="770"/>
      <c r="H29" s="770"/>
      <c r="I29" s="770"/>
      <c r="J29" s="770"/>
      <c r="K29" s="770"/>
      <c r="L29" s="771"/>
      <c r="M29" s="144"/>
      <c r="N29" s="144"/>
    </row>
    <row r="30" spans="2:14" s="340" customFormat="1" ht="49.5" customHeight="1" x14ac:dyDescent="0.25">
      <c r="B30" s="348"/>
      <c r="C30" s="589"/>
      <c r="D30" s="365" t="s">
        <v>577</v>
      </c>
      <c r="E30" s="564"/>
      <c r="F30" s="359"/>
      <c r="G30" s="358"/>
      <c r="H30" s="358"/>
      <c r="I30" s="358"/>
      <c r="J30" s="358"/>
      <c r="K30" s="358"/>
      <c r="L30" s="358"/>
      <c r="M30" s="348"/>
      <c r="N30" s="348"/>
    </row>
    <row r="31" spans="2:14" ht="7.5" customHeight="1" x14ac:dyDescent="0.25">
      <c r="B31" s="144"/>
      <c r="C31" s="768"/>
      <c r="D31" s="769"/>
      <c r="E31" s="770"/>
      <c r="F31" s="770"/>
      <c r="G31" s="770"/>
      <c r="H31" s="770"/>
      <c r="I31" s="770"/>
      <c r="J31" s="770"/>
      <c r="K31" s="770"/>
      <c r="L31" s="771"/>
      <c r="M31" s="144"/>
      <c r="N31" s="144"/>
    </row>
    <row r="32" spans="2:14" s="341" customFormat="1" x14ac:dyDescent="0.2">
      <c r="B32" s="351"/>
      <c r="C32" s="755" t="s">
        <v>576</v>
      </c>
      <c r="D32" s="756"/>
      <c r="E32" s="357" t="s">
        <v>249</v>
      </c>
      <c r="F32" s="357" t="s">
        <v>256</v>
      </c>
      <c r="G32" s="357" t="s">
        <v>250</v>
      </c>
      <c r="H32" s="357"/>
      <c r="I32" s="357" t="s">
        <v>249</v>
      </c>
      <c r="J32" s="357" t="s">
        <v>256</v>
      </c>
      <c r="K32" s="357" t="s">
        <v>250</v>
      </c>
      <c r="L32" s="347"/>
      <c r="M32" s="351"/>
      <c r="N32" s="351"/>
    </row>
    <row r="33" spans="2:14" s="341" customFormat="1" x14ac:dyDescent="0.2">
      <c r="B33" s="351"/>
      <c r="C33" s="757"/>
      <c r="D33" s="758"/>
      <c r="E33" s="359"/>
      <c r="F33" s="358"/>
      <c r="G33" s="358"/>
      <c r="H33" s="345"/>
      <c r="I33" s="358"/>
      <c r="J33" s="358"/>
      <c r="K33" s="358"/>
      <c r="L33" s="345"/>
      <c r="M33" s="351"/>
      <c r="N33" s="351"/>
    </row>
    <row r="34" spans="2:14" ht="7.5" customHeight="1" x14ac:dyDescent="0.25">
      <c r="B34" s="144"/>
      <c r="C34" s="768"/>
      <c r="D34" s="769"/>
      <c r="E34" s="770"/>
      <c r="F34" s="770"/>
      <c r="G34" s="770"/>
      <c r="H34" s="770"/>
      <c r="I34" s="770"/>
      <c r="J34" s="770"/>
      <c r="K34" s="770"/>
      <c r="L34" s="771"/>
      <c r="M34" s="144"/>
      <c r="N34" s="144"/>
    </row>
    <row r="35" spans="2:14" ht="15" customHeight="1" x14ac:dyDescent="0.25">
      <c r="B35" s="144"/>
      <c r="C35" s="753" t="s">
        <v>575</v>
      </c>
      <c r="D35" s="754"/>
      <c r="E35" s="772"/>
      <c r="F35" s="773"/>
      <c r="G35" s="773"/>
      <c r="H35" s="774"/>
      <c r="I35" s="772"/>
      <c r="J35" s="773"/>
      <c r="K35" s="773"/>
      <c r="L35" s="774"/>
      <c r="M35" s="144"/>
      <c r="N35" s="144"/>
    </row>
    <row r="36" spans="2:14" ht="7.5" customHeight="1" x14ac:dyDescent="0.25">
      <c r="B36" s="144"/>
      <c r="C36" s="768"/>
      <c r="D36" s="769"/>
      <c r="E36" s="770"/>
      <c r="F36" s="770"/>
      <c r="G36" s="770"/>
      <c r="H36" s="770"/>
      <c r="I36" s="770"/>
      <c r="J36" s="770"/>
      <c r="K36" s="770"/>
      <c r="L36" s="771"/>
      <c r="M36" s="144"/>
      <c r="N36" s="144"/>
    </row>
    <row r="37" spans="2:14" x14ac:dyDescent="0.25">
      <c r="B37" s="144"/>
      <c r="C37" s="753" t="s">
        <v>574</v>
      </c>
      <c r="D37" s="754"/>
      <c r="E37" s="772"/>
      <c r="F37" s="773"/>
      <c r="G37" s="773"/>
      <c r="H37" s="774"/>
      <c r="I37" s="772"/>
      <c r="J37" s="773"/>
      <c r="K37" s="773"/>
      <c r="L37" s="774"/>
      <c r="M37" s="144"/>
      <c r="N37" s="144"/>
    </row>
    <row r="38" spans="2:14" ht="7.5" customHeight="1" x14ac:dyDescent="0.25">
      <c r="B38" s="144"/>
      <c r="C38" s="768"/>
      <c r="D38" s="769"/>
      <c r="E38" s="770"/>
      <c r="F38" s="770"/>
      <c r="G38" s="770"/>
      <c r="H38" s="770"/>
      <c r="I38" s="770"/>
      <c r="J38" s="770"/>
      <c r="K38" s="770"/>
      <c r="L38" s="771"/>
      <c r="M38" s="144"/>
      <c r="N38" s="144"/>
    </row>
    <row r="39" spans="2:14" ht="15" customHeight="1" x14ac:dyDescent="0.25">
      <c r="B39" s="144"/>
      <c r="C39" s="775"/>
      <c r="D39" s="776"/>
      <c r="E39" s="781"/>
      <c r="F39" s="782"/>
      <c r="G39" s="782"/>
      <c r="H39" s="782"/>
      <c r="I39" s="782"/>
      <c r="J39" s="782"/>
      <c r="K39" s="782"/>
      <c r="L39" s="782"/>
      <c r="M39" s="144"/>
      <c r="N39" s="144"/>
    </row>
    <row r="40" spans="2:14" ht="7.5" customHeight="1" x14ac:dyDescent="0.25">
      <c r="B40" s="144"/>
      <c r="C40" s="768"/>
      <c r="D40" s="769"/>
      <c r="E40" s="770"/>
      <c r="F40" s="770"/>
      <c r="G40" s="770"/>
      <c r="H40" s="770"/>
      <c r="I40" s="770"/>
      <c r="J40" s="770"/>
      <c r="K40" s="770"/>
      <c r="L40" s="771"/>
      <c r="M40" s="144"/>
      <c r="N40" s="144"/>
    </row>
    <row r="41" spans="2:14" ht="15.75" x14ac:dyDescent="0.25">
      <c r="B41" s="144"/>
      <c r="C41" s="747" t="s">
        <v>387</v>
      </c>
      <c r="D41" s="748"/>
      <c r="E41" s="350"/>
      <c r="F41" s="350"/>
      <c r="G41" s="350"/>
      <c r="H41" s="350"/>
      <c r="I41" s="350"/>
      <c r="J41" s="350"/>
      <c r="K41" s="350"/>
      <c r="L41" s="350"/>
      <c r="M41" s="144"/>
      <c r="N41" s="144"/>
    </row>
    <row r="42" spans="2:14" ht="25.5" customHeight="1" x14ac:dyDescent="0.25">
      <c r="B42" s="144"/>
      <c r="C42" s="777" t="s">
        <v>388</v>
      </c>
      <c r="D42" s="778"/>
      <c r="E42" s="362" t="s">
        <v>595</v>
      </c>
      <c r="F42" s="362" t="s">
        <v>287</v>
      </c>
      <c r="G42" s="362" t="s">
        <v>308</v>
      </c>
      <c r="H42" s="362" t="s">
        <v>310</v>
      </c>
      <c r="I42" s="362" t="s">
        <v>301</v>
      </c>
      <c r="J42" s="362" t="s">
        <v>304</v>
      </c>
      <c r="K42" s="353"/>
      <c r="L42" s="353"/>
      <c r="M42" s="144"/>
      <c r="N42" s="144"/>
    </row>
    <row r="43" spans="2:14" x14ac:dyDescent="0.25">
      <c r="B43" s="144"/>
      <c r="C43" s="779" t="s">
        <v>14</v>
      </c>
      <c r="D43" s="780"/>
      <c r="E43" s="352" t="s">
        <v>23</v>
      </c>
      <c r="F43" s="352" t="s">
        <v>13</v>
      </c>
      <c r="G43" s="352" t="s">
        <v>32</v>
      </c>
      <c r="H43" s="352" t="s">
        <v>390</v>
      </c>
      <c r="I43" s="352" t="s">
        <v>390</v>
      </c>
      <c r="J43" s="352" t="s">
        <v>390</v>
      </c>
      <c r="K43" s="353"/>
      <c r="L43" s="353"/>
      <c r="M43" s="144"/>
      <c r="N43" s="144"/>
    </row>
    <row r="44" spans="2:14" x14ac:dyDescent="0.25">
      <c r="B44" s="144"/>
      <c r="C44" s="777" t="s">
        <v>389</v>
      </c>
      <c r="D44" s="778"/>
      <c r="E44" s="360"/>
      <c r="F44" s="361"/>
      <c r="G44" s="354"/>
      <c r="H44" s="354"/>
      <c r="I44" s="354"/>
      <c r="J44" s="354"/>
      <c r="K44" s="144"/>
      <c r="L44" s="144"/>
      <c r="M44" s="144"/>
      <c r="N44" s="144"/>
    </row>
    <row r="45" spans="2:14" x14ac:dyDescent="0.25">
      <c r="B45" s="144"/>
      <c r="C45" s="639"/>
      <c r="D45" s="639"/>
      <c r="E45" s="639"/>
      <c r="F45" s="639"/>
      <c r="G45" s="639"/>
      <c r="H45" s="639"/>
      <c r="I45" s="639"/>
      <c r="J45" s="639"/>
      <c r="K45" s="639"/>
      <c r="L45" s="639"/>
      <c r="M45" s="144"/>
      <c r="N45" s="144"/>
    </row>
    <row r="46" spans="2:14" x14ac:dyDescent="0.25">
      <c r="B46" s="144"/>
      <c r="C46" s="792" t="s">
        <v>450</v>
      </c>
      <c r="D46" s="793"/>
      <c r="E46" s="368"/>
      <c r="F46" s="368"/>
      <c r="G46" s="368"/>
      <c r="H46" s="144"/>
      <c r="I46" s="144"/>
      <c r="J46" s="144"/>
      <c r="K46" s="144"/>
      <c r="L46" s="144"/>
      <c r="M46" s="144"/>
      <c r="N46" s="144"/>
    </row>
    <row r="47" spans="2:14" ht="15.75" x14ac:dyDescent="0.25">
      <c r="B47" s="144"/>
      <c r="C47" s="747" t="s">
        <v>184</v>
      </c>
      <c r="D47" s="748"/>
      <c r="E47" s="344"/>
      <c r="F47" s="344"/>
      <c r="G47" s="344"/>
      <c r="H47" s="344"/>
      <c r="I47" s="344"/>
      <c r="J47" s="344"/>
      <c r="K47" s="344"/>
      <c r="L47" s="344"/>
      <c r="M47" s="144"/>
      <c r="N47" s="144"/>
    </row>
    <row r="48" spans="2:14" ht="38.25" customHeight="1" x14ac:dyDescent="0.25">
      <c r="B48" s="144"/>
      <c r="C48" s="749" t="s">
        <v>517</v>
      </c>
      <c r="D48" s="750"/>
      <c r="E48" s="762" t="s">
        <v>182</v>
      </c>
      <c r="F48" s="763"/>
      <c r="G48" s="763"/>
      <c r="H48" s="764"/>
      <c r="I48" s="762" t="s">
        <v>183</v>
      </c>
      <c r="J48" s="763"/>
      <c r="K48" s="763"/>
      <c r="L48" s="764"/>
      <c r="M48" s="144"/>
      <c r="N48" s="144"/>
    </row>
    <row r="49" spans="2:14" x14ac:dyDescent="0.25">
      <c r="B49" s="144"/>
      <c r="C49" s="751"/>
      <c r="D49" s="752"/>
      <c r="E49" s="355" t="s">
        <v>563</v>
      </c>
      <c r="F49" s="355" t="s">
        <v>563</v>
      </c>
      <c r="G49" s="355" t="s">
        <v>563</v>
      </c>
      <c r="H49" s="355" t="s">
        <v>563</v>
      </c>
      <c r="I49" s="355" t="s">
        <v>563</v>
      </c>
      <c r="J49" s="355" t="s">
        <v>563</v>
      </c>
      <c r="K49" s="355" t="s">
        <v>563</v>
      </c>
      <c r="L49" s="355" t="s">
        <v>563</v>
      </c>
      <c r="M49" s="144"/>
      <c r="N49" s="144"/>
    </row>
    <row r="50" spans="2:14" ht="7.5" customHeight="1" x14ac:dyDescent="0.25">
      <c r="B50" s="144"/>
      <c r="C50" s="765"/>
      <c r="D50" s="766"/>
      <c r="E50" s="766"/>
      <c r="F50" s="766"/>
      <c r="G50" s="766"/>
      <c r="H50" s="766"/>
      <c r="I50" s="766"/>
      <c r="J50" s="766"/>
      <c r="K50" s="766"/>
      <c r="L50" s="767"/>
      <c r="M50" s="144"/>
      <c r="N50" s="144"/>
    </row>
    <row r="51" spans="2:14" x14ac:dyDescent="0.25">
      <c r="B51" s="144"/>
      <c r="C51" s="753" t="s">
        <v>572</v>
      </c>
      <c r="D51" s="754"/>
      <c r="E51" s="357" t="s">
        <v>251</v>
      </c>
      <c r="F51" s="357" t="s">
        <v>253</v>
      </c>
      <c r="G51" s="357" t="s">
        <v>252</v>
      </c>
      <c r="H51" s="357" t="s">
        <v>255</v>
      </c>
      <c r="I51" s="357" t="s">
        <v>251</v>
      </c>
      <c r="J51" s="357" t="s">
        <v>253</v>
      </c>
      <c r="K51" s="357" t="s">
        <v>252</v>
      </c>
      <c r="L51" s="357" t="s">
        <v>255</v>
      </c>
      <c r="M51" s="144"/>
      <c r="N51" s="144"/>
    </row>
    <row r="52" spans="2:14" x14ac:dyDescent="0.25">
      <c r="B52" s="144"/>
      <c r="C52" s="565"/>
      <c r="D52" s="566" t="s">
        <v>550</v>
      </c>
      <c r="E52" s="567"/>
      <c r="F52" s="568"/>
      <c r="G52" s="567"/>
      <c r="H52" s="567"/>
      <c r="I52" s="567"/>
      <c r="J52" s="567"/>
      <c r="K52" s="567"/>
      <c r="L52" s="567"/>
      <c r="M52" s="144"/>
      <c r="N52" s="144"/>
    </row>
    <row r="53" spans="2:14" x14ac:dyDescent="0.25">
      <c r="B53" s="144"/>
      <c r="C53" s="569"/>
      <c r="D53" s="570" t="s">
        <v>265</v>
      </c>
      <c r="E53" s="571"/>
      <c r="F53" s="572"/>
      <c r="G53" s="573"/>
      <c r="H53" s="573"/>
      <c r="I53" s="567"/>
      <c r="J53" s="567"/>
      <c r="K53" s="567"/>
      <c r="L53" s="567"/>
      <c r="M53" s="144"/>
      <c r="N53" s="144"/>
    </row>
    <row r="54" spans="2:14" x14ac:dyDescent="0.25">
      <c r="B54" s="144"/>
      <c r="C54" s="577"/>
      <c r="D54" s="578" t="s">
        <v>551</v>
      </c>
      <c r="E54" s="574"/>
      <c r="F54" s="575"/>
      <c r="G54" s="576"/>
      <c r="H54" s="576"/>
      <c r="I54" s="567"/>
      <c r="J54" s="567"/>
      <c r="K54" s="567"/>
      <c r="L54" s="567"/>
      <c r="M54" s="144"/>
      <c r="N54" s="144"/>
    </row>
    <row r="55" spans="2:14" ht="7.5" customHeight="1" x14ac:dyDescent="0.25">
      <c r="B55" s="144"/>
      <c r="C55" s="768"/>
      <c r="D55" s="769"/>
      <c r="E55" s="770"/>
      <c r="F55" s="770"/>
      <c r="G55" s="770"/>
      <c r="H55" s="770"/>
      <c r="I55" s="770"/>
      <c r="J55" s="770"/>
      <c r="K55" s="770"/>
      <c r="L55" s="771"/>
      <c r="M55" s="144"/>
      <c r="N55" s="144"/>
    </row>
    <row r="56" spans="2:14" x14ac:dyDescent="0.25">
      <c r="B56" s="144"/>
      <c r="C56" s="753" t="s">
        <v>573</v>
      </c>
      <c r="D56" s="754"/>
      <c r="E56" s="357" t="s">
        <v>251</v>
      </c>
      <c r="F56" s="357" t="s">
        <v>253</v>
      </c>
      <c r="G56" s="357" t="s">
        <v>252</v>
      </c>
      <c r="H56" s="357" t="s">
        <v>255</v>
      </c>
      <c r="I56" s="357" t="s">
        <v>251</v>
      </c>
      <c r="J56" s="357" t="s">
        <v>253</v>
      </c>
      <c r="K56" s="357" t="s">
        <v>252</v>
      </c>
      <c r="L56" s="357" t="s">
        <v>255</v>
      </c>
      <c r="M56" s="144"/>
      <c r="N56" s="144"/>
    </row>
    <row r="57" spans="2:14" x14ac:dyDescent="0.25">
      <c r="B57" s="144"/>
      <c r="C57" s="565"/>
      <c r="D57" s="566" t="s">
        <v>550</v>
      </c>
      <c r="E57" s="567"/>
      <c r="F57" s="568"/>
      <c r="G57" s="567"/>
      <c r="H57" s="567"/>
      <c r="I57" s="567"/>
      <c r="J57" s="567"/>
      <c r="K57" s="567"/>
      <c r="L57" s="567"/>
      <c r="M57" s="144"/>
      <c r="N57" s="144"/>
    </row>
    <row r="58" spans="2:14" x14ac:dyDescent="0.25">
      <c r="B58" s="144"/>
      <c r="C58" s="569"/>
      <c r="D58" s="570" t="s">
        <v>265</v>
      </c>
      <c r="E58" s="571"/>
      <c r="F58" s="572"/>
      <c r="G58" s="573"/>
      <c r="H58" s="573"/>
      <c r="I58" s="567"/>
      <c r="J58" s="567"/>
      <c r="K58" s="567"/>
      <c r="L58" s="567"/>
      <c r="M58" s="144"/>
      <c r="N58" s="144"/>
    </row>
    <row r="59" spans="2:14" x14ac:dyDescent="0.25">
      <c r="B59" s="144"/>
      <c r="C59" s="577"/>
      <c r="D59" s="578" t="s">
        <v>551</v>
      </c>
      <c r="E59" s="574"/>
      <c r="F59" s="575"/>
      <c r="G59" s="576"/>
      <c r="H59" s="576"/>
      <c r="I59" s="567"/>
      <c r="J59" s="567"/>
      <c r="K59" s="567"/>
      <c r="L59" s="567"/>
      <c r="M59" s="144"/>
      <c r="N59" s="144"/>
    </row>
    <row r="60" spans="2:14" ht="7.5" customHeight="1" x14ac:dyDescent="0.25">
      <c r="B60" s="144"/>
      <c r="C60" s="768"/>
      <c r="D60" s="769"/>
      <c r="E60" s="770"/>
      <c r="F60" s="770"/>
      <c r="G60" s="770"/>
      <c r="H60" s="770"/>
      <c r="I60" s="770"/>
      <c r="J60" s="770"/>
      <c r="K60" s="770"/>
      <c r="L60" s="771"/>
      <c r="M60" s="144"/>
      <c r="N60" s="144"/>
    </row>
    <row r="61" spans="2:14" x14ac:dyDescent="0.25">
      <c r="B61" s="144"/>
      <c r="C61" s="589"/>
      <c r="D61" s="365" t="s">
        <v>578</v>
      </c>
      <c r="E61" s="564"/>
      <c r="F61" s="359"/>
      <c r="G61" s="358"/>
      <c r="H61" s="358"/>
      <c r="I61" s="358"/>
      <c r="J61" s="358"/>
      <c r="K61" s="358"/>
      <c r="L61" s="358"/>
      <c r="M61" s="144"/>
      <c r="N61" s="144"/>
    </row>
    <row r="62" spans="2:14" ht="7.5" customHeight="1" x14ac:dyDescent="0.25">
      <c r="B62" s="144"/>
      <c r="C62" s="768"/>
      <c r="D62" s="769"/>
      <c r="E62" s="770"/>
      <c r="F62" s="770"/>
      <c r="G62" s="770"/>
      <c r="H62" s="770"/>
      <c r="I62" s="770"/>
      <c r="J62" s="770"/>
      <c r="K62" s="770"/>
      <c r="L62" s="771"/>
      <c r="M62" s="144"/>
      <c r="N62" s="144"/>
    </row>
    <row r="63" spans="2:14" ht="45" customHeight="1" x14ac:dyDescent="0.25">
      <c r="B63" s="144"/>
      <c r="C63" s="589"/>
      <c r="D63" s="365" t="s">
        <v>577</v>
      </c>
      <c r="E63" s="564"/>
      <c r="F63" s="359"/>
      <c r="G63" s="358"/>
      <c r="H63" s="358"/>
      <c r="I63" s="358"/>
      <c r="J63" s="358"/>
      <c r="K63" s="358"/>
      <c r="L63" s="358"/>
      <c r="M63" s="144"/>
      <c r="N63" s="144"/>
    </row>
    <row r="64" spans="2:14" ht="7.5" customHeight="1" x14ac:dyDescent="0.25">
      <c r="B64" s="144"/>
      <c r="C64" s="768"/>
      <c r="D64" s="769"/>
      <c r="E64" s="770"/>
      <c r="F64" s="770"/>
      <c r="G64" s="770"/>
      <c r="H64" s="770"/>
      <c r="I64" s="770"/>
      <c r="J64" s="770"/>
      <c r="K64" s="770"/>
      <c r="L64" s="771"/>
      <c r="M64" s="144"/>
      <c r="N64" s="144"/>
    </row>
    <row r="65" spans="2:14" x14ac:dyDescent="0.25">
      <c r="B65" s="144"/>
      <c r="C65" s="755" t="s">
        <v>576</v>
      </c>
      <c r="D65" s="756"/>
      <c r="E65" s="357" t="s">
        <v>249</v>
      </c>
      <c r="F65" s="357" t="s">
        <v>256</v>
      </c>
      <c r="G65" s="357" t="s">
        <v>250</v>
      </c>
      <c r="H65" s="357"/>
      <c r="I65" s="357" t="s">
        <v>249</v>
      </c>
      <c r="J65" s="357" t="s">
        <v>256</v>
      </c>
      <c r="K65" s="357" t="s">
        <v>250</v>
      </c>
      <c r="L65" s="347"/>
      <c r="M65" s="144"/>
      <c r="N65" s="144"/>
    </row>
    <row r="66" spans="2:14" x14ac:dyDescent="0.25">
      <c r="B66" s="144"/>
      <c r="C66" s="757"/>
      <c r="D66" s="758"/>
      <c r="E66" s="359"/>
      <c r="F66" s="358"/>
      <c r="G66" s="358"/>
      <c r="H66" s="345"/>
      <c r="I66" s="358"/>
      <c r="J66" s="358"/>
      <c r="K66" s="358"/>
      <c r="L66" s="345"/>
      <c r="M66" s="144"/>
      <c r="N66" s="144"/>
    </row>
    <row r="67" spans="2:14" ht="7.5" customHeight="1" x14ac:dyDescent="0.25">
      <c r="B67" s="144"/>
      <c r="C67" s="768"/>
      <c r="D67" s="769"/>
      <c r="E67" s="770"/>
      <c r="F67" s="770"/>
      <c r="G67" s="770"/>
      <c r="H67" s="770"/>
      <c r="I67" s="770"/>
      <c r="J67" s="770"/>
      <c r="K67" s="770"/>
      <c r="L67" s="771"/>
      <c r="M67" s="144"/>
      <c r="N67" s="144"/>
    </row>
    <row r="68" spans="2:14" x14ac:dyDescent="0.25">
      <c r="B68" s="144"/>
      <c r="C68" s="753" t="s">
        <v>575</v>
      </c>
      <c r="D68" s="754"/>
      <c r="E68" s="772"/>
      <c r="F68" s="773"/>
      <c r="G68" s="773"/>
      <c r="H68" s="774"/>
      <c r="I68" s="772"/>
      <c r="J68" s="773"/>
      <c r="K68" s="773"/>
      <c r="L68" s="774"/>
      <c r="M68" s="144"/>
      <c r="N68" s="144"/>
    </row>
    <row r="69" spans="2:14" ht="7.5" customHeight="1" x14ac:dyDescent="0.25">
      <c r="B69" s="144"/>
      <c r="C69" s="768"/>
      <c r="D69" s="769"/>
      <c r="E69" s="770"/>
      <c r="F69" s="770"/>
      <c r="G69" s="770"/>
      <c r="H69" s="770"/>
      <c r="I69" s="770"/>
      <c r="J69" s="770"/>
      <c r="K69" s="770"/>
      <c r="L69" s="771"/>
      <c r="M69" s="144"/>
      <c r="N69" s="144"/>
    </row>
    <row r="70" spans="2:14" x14ac:dyDescent="0.25">
      <c r="B70" s="144"/>
      <c r="C70" s="753" t="s">
        <v>574</v>
      </c>
      <c r="D70" s="754"/>
      <c r="E70" s="772"/>
      <c r="F70" s="773"/>
      <c r="G70" s="773"/>
      <c r="H70" s="774"/>
      <c r="I70" s="772"/>
      <c r="J70" s="773"/>
      <c r="K70" s="773"/>
      <c r="L70" s="774"/>
      <c r="M70" s="144"/>
      <c r="N70" s="144"/>
    </row>
    <row r="71" spans="2:14" ht="7.5" customHeight="1" x14ac:dyDescent="0.25">
      <c r="B71" s="144"/>
      <c r="C71" s="768"/>
      <c r="D71" s="769"/>
      <c r="E71" s="770"/>
      <c r="F71" s="770"/>
      <c r="G71" s="770"/>
      <c r="H71" s="770"/>
      <c r="I71" s="770"/>
      <c r="J71" s="770"/>
      <c r="K71" s="770"/>
      <c r="L71" s="771"/>
      <c r="M71" s="144"/>
      <c r="N71" s="144"/>
    </row>
    <row r="72" spans="2:14" x14ac:dyDescent="0.25">
      <c r="B72" s="144"/>
      <c r="C72" s="775"/>
      <c r="D72" s="776"/>
      <c r="E72" s="781"/>
      <c r="F72" s="782"/>
      <c r="G72" s="782"/>
      <c r="H72" s="782"/>
      <c r="I72" s="782"/>
      <c r="J72" s="782"/>
      <c r="K72" s="782"/>
      <c r="L72" s="782"/>
      <c r="M72" s="144"/>
      <c r="N72" s="144"/>
    </row>
    <row r="73" spans="2:14" ht="7.5" customHeight="1" x14ac:dyDescent="0.25">
      <c r="B73" s="144"/>
      <c r="C73" s="768"/>
      <c r="D73" s="769"/>
      <c r="E73" s="770"/>
      <c r="F73" s="770"/>
      <c r="G73" s="770"/>
      <c r="H73" s="770"/>
      <c r="I73" s="770"/>
      <c r="J73" s="770"/>
      <c r="K73" s="770"/>
      <c r="L73" s="771"/>
      <c r="M73" s="144"/>
      <c r="N73" s="144"/>
    </row>
    <row r="74" spans="2:14" ht="15.75" x14ac:dyDescent="0.25">
      <c r="B74" s="144"/>
      <c r="C74" s="747" t="s">
        <v>387</v>
      </c>
      <c r="D74" s="748"/>
      <c r="E74" s="350"/>
      <c r="F74" s="350"/>
      <c r="G74" s="350"/>
      <c r="H74" s="350"/>
      <c r="I74" s="350"/>
      <c r="J74" s="350"/>
      <c r="K74" s="350"/>
      <c r="L74" s="350"/>
      <c r="M74" s="144"/>
      <c r="N74" s="144"/>
    </row>
    <row r="75" spans="2:14" ht="25.5" x14ac:dyDescent="0.25">
      <c r="B75" s="144"/>
      <c r="C75" s="777" t="s">
        <v>388</v>
      </c>
      <c r="D75" s="778"/>
      <c r="E75" s="362" t="s">
        <v>595</v>
      </c>
      <c r="F75" s="362" t="s">
        <v>287</v>
      </c>
      <c r="G75" s="362" t="s">
        <v>308</v>
      </c>
      <c r="H75" s="362" t="s">
        <v>310</v>
      </c>
      <c r="I75" s="362" t="s">
        <v>301</v>
      </c>
      <c r="J75" s="362" t="s">
        <v>304</v>
      </c>
      <c r="K75" s="353"/>
      <c r="L75" s="353"/>
      <c r="M75" s="144"/>
      <c r="N75" s="144"/>
    </row>
    <row r="76" spans="2:14" x14ac:dyDescent="0.25">
      <c r="B76" s="144"/>
      <c r="C76" s="779" t="s">
        <v>14</v>
      </c>
      <c r="D76" s="780"/>
      <c r="E76" s="352" t="s">
        <v>23</v>
      </c>
      <c r="F76" s="352" t="s">
        <v>13</v>
      </c>
      <c r="G76" s="352" t="s">
        <v>32</v>
      </c>
      <c r="H76" s="352" t="s">
        <v>390</v>
      </c>
      <c r="I76" s="352" t="s">
        <v>390</v>
      </c>
      <c r="J76" s="352" t="s">
        <v>390</v>
      </c>
      <c r="K76" s="353"/>
      <c r="L76" s="353"/>
      <c r="M76" s="144"/>
      <c r="N76" s="144"/>
    </row>
    <row r="77" spans="2:14" x14ac:dyDescent="0.25">
      <c r="B77" s="144"/>
      <c r="C77" s="777" t="s">
        <v>389</v>
      </c>
      <c r="D77" s="778"/>
      <c r="E77" s="360"/>
      <c r="F77" s="361"/>
      <c r="G77" s="354"/>
      <c r="H77" s="354"/>
      <c r="I77" s="354"/>
      <c r="J77" s="354"/>
      <c r="K77" s="144"/>
      <c r="L77" s="144"/>
      <c r="M77" s="144"/>
      <c r="N77" s="144"/>
    </row>
  </sheetData>
  <mergeCells count="62">
    <mergeCell ref="C75:D75"/>
    <mergeCell ref="C76:D76"/>
    <mergeCell ref="C77:D77"/>
    <mergeCell ref="C72:D72"/>
    <mergeCell ref="E72:H72"/>
    <mergeCell ref="I72:L72"/>
    <mergeCell ref="C73:L73"/>
    <mergeCell ref="C74:D74"/>
    <mergeCell ref="C69:L69"/>
    <mergeCell ref="C70:D70"/>
    <mergeCell ref="E70:H70"/>
    <mergeCell ref="I70:L70"/>
    <mergeCell ref="C71:L71"/>
    <mergeCell ref="C67:L67"/>
    <mergeCell ref="E68:H68"/>
    <mergeCell ref="I68:L68"/>
    <mergeCell ref="C68:D68"/>
    <mergeCell ref="C64:L64"/>
    <mergeCell ref="C40:L40"/>
    <mergeCell ref="C32:D33"/>
    <mergeCell ref="C34:L34"/>
    <mergeCell ref="C56:D56"/>
    <mergeCell ref="C65:D66"/>
    <mergeCell ref="C62:L62"/>
    <mergeCell ref="C39:D39"/>
    <mergeCell ref="C55:L55"/>
    <mergeCell ref="C60:L60"/>
    <mergeCell ref="C35:D35"/>
    <mergeCell ref="C50:L50"/>
    <mergeCell ref="C51:D51"/>
    <mergeCell ref="E35:H35"/>
    <mergeCell ref="I35:L35"/>
    <mergeCell ref="C36:L36"/>
    <mergeCell ref="C37:D37"/>
    <mergeCell ref="C49:D49"/>
    <mergeCell ref="C48:D48"/>
    <mergeCell ref="C41:D41"/>
    <mergeCell ref="C42:D42"/>
    <mergeCell ref="C43:D43"/>
    <mergeCell ref="C44:D44"/>
    <mergeCell ref="C23:D23"/>
    <mergeCell ref="C29:L29"/>
    <mergeCell ref="E37:H37"/>
    <mergeCell ref="I37:L37"/>
    <mergeCell ref="C38:L38"/>
    <mergeCell ref="C31:L31"/>
    <mergeCell ref="C13:D13"/>
    <mergeCell ref="C46:D46"/>
    <mergeCell ref="E48:H48"/>
    <mergeCell ref="I48:L48"/>
    <mergeCell ref="C15:D15"/>
    <mergeCell ref="C18:D18"/>
    <mergeCell ref="C16:D16"/>
    <mergeCell ref="C14:D14"/>
    <mergeCell ref="E15:H15"/>
    <mergeCell ref="I15:L15"/>
    <mergeCell ref="C17:L17"/>
    <mergeCell ref="E39:H39"/>
    <mergeCell ref="I39:L39"/>
    <mergeCell ref="C22:L22"/>
    <mergeCell ref="C27:L27"/>
    <mergeCell ref="C47:D47"/>
  </mergeCells>
  <pageMargins left="0.70866141732283472" right="0.70866141732283472" top="0.74803149606299213" bottom="0.74803149606299213" header="0.31496062992125984" footer="0.31496062992125984"/>
  <pageSetup scale="52" orientation="portrait" r:id="rId1"/>
  <headerFooter>
    <oddHeader>&amp;C&amp;A</oddHead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KO1220"/>
  <sheetViews>
    <sheetView showGridLines="0" topLeftCell="F1" zoomScaleNormal="100" workbookViewId="0">
      <selection activeCell="M3" sqref="M3"/>
    </sheetView>
  </sheetViews>
  <sheetFormatPr defaultColWidth="9.140625" defaultRowHeight="12.75" x14ac:dyDescent="0.2"/>
  <cols>
    <col min="1" max="1" width="1.42578125" style="170" customWidth="1"/>
    <col min="2" max="2" width="1.42578125" style="26" customWidth="1"/>
    <col min="3" max="3" width="40.85546875" style="26" bestFit="1" customWidth="1"/>
    <col min="4" max="4" width="18.140625" style="9" bestFit="1" customWidth="1"/>
    <col min="5" max="6" width="16.42578125" style="9" customWidth="1"/>
    <col min="7" max="7" width="18.140625" style="9" bestFit="1" customWidth="1"/>
    <col min="8" max="8" width="2.5703125" style="26" customWidth="1"/>
    <col min="9" max="9" width="12.42578125" style="26" bestFit="1" customWidth="1"/>
    <col min="10" max="10" width="17.85546875" style="8" bestFit="1" customWidth="1"/>
    <col min="11" max="11" width="16.28515625" style="9" bestFit="1" customWidth="1"/>
    <col min="12" max="12" width="17.85546875" style="9" customWidth="1"/>
    <col min="13" max="13" width="18.5703125" style="26" customWidth="1"/>
    <col min="14" max="14" width="11.7109375" style="170" bestFit="1" customWidth="1"/>
    <col min="15" max="15" width="16.42578125" style="170" customWidth="1"/>
    <col min="16" max="301" width="9.140625" style="170"/>
    <col min="302" max="16384" width="9.140625" style="26"/>
  </cols>
  <sheetData>
    <row r="1" spans="3:12" s="170" customFormat="1" ht="7.5" customHeight="1" x14ac:dyDescent="0.2">
      <c r="D1" s="173"/>
      <c r="E1" s="173"/>
      <c r="F1" s="173"/>
      <c r="G1" s="173"/>
      <c r="J1" s="174"/>
      <c r="K1" s="173"/>
      <c r="L1" s="173"/>
    </row>
    <row r="2" spans="3:12" ht="7.5" customHeight="1" x14ac:dyDescent="0.2"/>
    <row r="3" spans="3:12" ht="14.25" customHeight="1" x14ac:dyDescent="0.3">
      <c r="C3" s="202" t="s">
        <v>502</v>
      </c>
    </row>
    <row r="4" spans="3:12" ht="7.5" customHeight="1" x14ac:dyDescent="0.2"/>
    <row r="5" spans="3:12" ht="15" x14ac:dyDescent="0.25">
      <c r="C5" s="695" t="s">
        <v>364</v>
      </c>
      <c r="D5" s="695"/>
      <c r="E5" s="695"/>
      <c r="F5" s="695"/>
      <c r="G5" s="695"/>
      <c r="H5" s="75"/>
      <c r="I5" s="694" t="s">
        <v>371</v>
      </c>
      <c r="J5" s="694"/>
      <c r="K5" s="694"/>
      <c r="L5" s="694"/>
    </row>
    <row r="6" spans="3:12" x14ac:dyDescent="0.2">
      <c r="C6" s="707"/>
      <c r="D6" s="703" t="s">
        <v>0</v>
      </c>
      <c r="E6" s="705" t="s">
        <v>12</v>
      </c>
      <c r="F6" s="706"/>
      <c r="G6" s="703" t="s">
        <v>3</v>
      </c>
      <c r="H6" s="176"/>
      <c r="I6" s="3" t="s">
        <v>40</v>
      </c>
      <c r="J6" s="118" t="s">
        <v>48</v>
      </c>
      <c r="K6" s="118" t="s">
        <v>50</v>
      </c>
      <c r="L6" s="118" t="s">
        <v>50</v>
      </c>
    </row>
    <row r="7" spans="3:12" ht="25.5" x14ac:dyDescent="0.2">
      <c r="C7" s="708"/>
      <c r="D7" s="704"/>
      <c r="E7" s="167" t="s">
        <v>43</v>
      </c>
      <c r="F7" s="168" t="s">
        <v>44</v>
      </c>
      <c r="G7" s="704"/>
      <c r="H7" s="238"/>
      <c r="I7" s="3" t="s">
        <v>41</v>
      </c>
      <c r="J7" s="169" t="s">
        <v>46</v>
      </c>
      <c r="K7" s="169" t="s">
        <v>210</v>
      </c>
      <c r="L7" s="169" t="s">
        <v>209</v>
      </c>
    </row>
    <row r="8" spans="3:12" x14ac:dyDescent="0.2">
      <c r="C8" s="698" t="s">
        <v>362</v>
      </c>
      <c r="D8" s="701"/>
      <c r="E8" s="701"/>
      <c r="F8" s="701"/>
      <c r="G8" s="701"/>
      <c r="H8" s="701"/>
      <c r="I8" s="701"/>
      <c r="J8" s="701"/>
      <c r="K8" s="701"/>
      <c r="L8" s="702"/>
    </row>
    <row r="9" spans="3:12" x14ac:dyDescent="0.2">
      <c r="C9" s="34" t="s">
        <v>174</v>
      </c>
      <c r="D9" s="239"/>
      <c r="E9" s="240"/>
      <c r="F9" s="240"/>
      <c r="G9" s="241">
        <f>SUM(D9:F9)</f>
        <v>0</v>
      </c>
      <c r="H9" s="252"/>
      <c r="I9" s="253">
        <v>10</v>
      </c>
      <c r="J9" s="243">
        <f>IF('Tariff Inputs'!$D$21="Yes",IF(I9&gt;0,G9/I9,0),0)</f>
        <v>0</v>
      </c>
      <c r="K9" s="198">
        <f>IF('Tariff Inputs'!$D$22="Yes",IF(I9&gt;0,HLOOKUP('Capital Costs Details'!I9,'Tariff Calculator'!$C$5:$AR$11,7),0),0)</f>
        <v>0</v>
      </c>
      <c r="L9" s="244">
        <f>IF('Tariff Inputs'!$D$22="Yes",IF(K9&gt;0,G9/K9,0),0)</f>
        <v>0</v>
      </c>
    </row>
    <row r="10" spans="3:12" x14ac:dyDescent="0.2">
      <c r="C10" s="34" t="s">
        <v>156</v>
      </c>
      <c r="D10" s="239"/>
      <c r="E10" s="240"/>
      <c r="F10" s="240"/>
      <c r="G10" s="241">
        <f t="shared" ref="G10" si="0">SUM(D10:F10)</f>
        <v>0</v>
      </c>
      <c r="H10" s="54"/>
      <c r="I10" s="242">
        <f>'Tariff Inputs'!D17</f>
        <v>25</v>
      </c>
      <c r="J10" s="243">
        <f>IF('Tariff Inputs'!$D$21="Yes",IF(I10&gt;0,G10/I10,0),0)</f>
        <v>0</v>
      </c>
      <c r="K10" s="198">
        <f>IF('Tariff Inputs'!$D$22="Yes",IF(I10&gt;0,HLOOKUP('Capital Costs Details'!I10,'Tariff Calculator'!$C$5:$AR$11,7),0),0)</f>
        <v>0</v>
      </c>
      <c r="L10" s="244">
        <f>IF('Tariff Inputs'!$D$22="Yes",IF(K10&gt;0,G10/K10,0),0)</f>
        <v>0</v>
      </c>
    </row>
    <row r="11" spans="3:12" ht="15" x14ac:dyDescent="0.25">
      <c r="C11" s="34" t="s">
        <v>120</v>
      </c>
      <c r="D11" s="239"/>
      <c r="E11" s="240"/>
      <c r="F11" s="240"/>
      <c r="G11" s="241">
        <f t="shared" ref="G11:G89" si="1">SUM(D11:F11)</f>
        <v>0</v>
      </c>
      <c r="H11" s="54"/>
      <c r="I11" s="562"/>
      <c r="J11" s="243">
        <f>IF('Tariff Inputs'!$D$21="Yes",IF(I11&gt;0,G11/I11,0),0)</f>
        <v>0</v>
      </c>
      <c r="K11" s="198">
        <f>IF('Tariff Inputs'!$D$22="Yes",IF(I11&gt;0,HLOOKUP('Capital Costs Details'!I11,'Tariff Calculator'!$C$5:$AR$11,7),0),0)</f>
        <v>0</v>
      </c>
      <c r="L11" s="244"/>
    </row>
    <row r="12" spans="3:12" x14ac:dyDescent="0.2">
      <c r="C12" s="34" t="s">
        <v>119</v>
      </c>
      <c r="D12" s="239"/>
      <c r="E12" s="240"/>
      <c r="F12" s="240"/>
      <c r="G12" s="241">
        <f t="shared" si="1"/>
        <v>0</v>
      </c>
      <c r="H12" s="54"/>
      <c r="I12" s="242">
        <f>'Tariff Inputs'!D17</f>
        <v>25</v>
      </c>
      <c r="J12" s="243">
        <f>IF('Tariff Inputs'!$D$21="Yes",IF(I12&gt;0,G12/I12,0),0)</f>
        <v>0</v>
      </c>
      <c r="K12" s="198">
        <f>IF('Tariff Inputs'!$D$22="Yes",IF(I12&gt;0,HLOOKUP('Capital Costs Details'!I12,'Tariff Calculator'!$C$5:$AR$11,7),0),0)</f>
        <v>0</v>
      </c>
      <c r="L12" s="244">
        <f>IF('Tariff Inputs'!$D$22="Yes",IF(K12&gt;0,G12/K12,0),0)</f>
        <v>0</v>
      </c>
    </row>
    <row r="13" spans="3:12" x14ac:dyDescent="0.2">
      <c r="C13" s="34" t="s">
        <v>206</v>
      </c>
      <c r="D13" s="239"/>
      <c r="E13" s="240"/>
      <c r="F13" s="240"/>
      <c r="G13" s="241">
        <f t="shared" si="1"/>
        <v>0</v>
      </c>
      <c r="H13" s="54"/>
      <c r="I13" s="242">
        <f>'Tariff Inputs'!D17</f>
        <v>25</v>
      </c>
      <c r="J13" s="243">
        <f>IF('Tariff Inputs'!$D$21="Yes",IF(I13&gt;0,G13/I13,0),0)</f>
        <v>0</v>
      </c>
      <c r="K13" s="198">
        <f>IF('Tariff Inputs'!$D$22="Yes",IF(I13&gt;0,HLOOKUP('Capital Costs Details'!I13,'Tariff Calculator'!$C$5:$AR$11,7),0),0)</f>
        <v>0</v>
      </c>
      <c r="L13" s="244">
        <f>IF('Tariff Inputs'!$D$22="Yes",IF(K13&gt;0,G13/K13,0),0)</f>
        <v>0</v>
      </c>
    </row>
    <row r="14" spans="3:12" x14ac:dyDescent="0.2">
      <c r="C14" s="34" t="s">
        <v>160</v>
      </c>
      <c r="D14" s="239"/>
      <c r="E14" s="240"/>
      <c r="F14" s="240"/>
      <c r="G14" s="241">
        <f t="shared" si="1"/>
        <v>0</v>
      </c>
      <c r="H14" s="54"/>
      <c r="I14" s="242">
        <f>'Tariff Inputs'!D17</f>
        <v>25</v>
      </c>
      <c r="J14" s="243">
        <f>IF('Tariff Inputs'!$D$21="Yes",IF(I14&gt;0,G14/I14,0),0)</f>
        <v>0</v>
      </c>
      <c r="K14" s="198">
        <f>IF('Tariff Inputs'!$D$22="Yes",IF(I14&gt;0,HLOOKUP('Capital Costs Details'!I14,'Tariff Calculator'!$C$5:$AR$11,7),0),0)</f>
        <v>0</v>
      </c>
      <c r="L14" s="244">
        <f>IF('Tariff Inputs'!$D$22="Yes",IF(K14&gt;0,G14/K14,0),0)</f>
        <v>0</v>
      </c>
    </row>
    <row r="15" spans="3:12" x14ac:dyDescent="0.2">
      <c r="C15" s="34" t="s">
        <v>159</v>
      </c>
      <c r="D15" s="239"/>
      <c r="E15" s="240"/>
      <c r="F15" s="240"/>
      <c r="G15" s="241">
        <f t="shared" ref="G15" si="2">SUM(D15:F15)</f>
        <v>0</v>
      </c>
      <c r="H15" s="54"/>
      <c r="I15" s="242">
        <f>'Tariff Inputs'!D17</f>
        <v>25</v>
      </c>
      <c r="J15" s="243">
        <f>IF('Tariff Inputs'!$D$21="Yes",IF(I15&gt;0,G15/I15,0),0)</f>
        <v>0</v>
      </c>
      <c r="K15" s="198">
        <f>IF('Tariff Inputs'!$D$22="Yes",IF(I15&gt;0,HLOOKUP('Capital Costs Details'!I15,'Tariff Calculator'!$C$5:$AR$11,7),0),0)</f>
        <v>0</v>
      </c>
      <c r="L15" s="244">
        <f>IF('Tariff Inputs'!$D$22="Yes",IF(K15&gt;0,G15/K15,0),0)</f>
        <v>0</v>
      </c>
    </row>
    <row r="16" spans="3:12" x14ac:dyDescent="0.2">
      <c r="C16" s="34" t="s">
        <v>4</v>
      </c>
      <c r="D16" s="239"/>
      <c r="E16" s="240"/>
      <c r="F16" s="240"/>
      <c r="G16" s="241">
        <f t="shared" si="1"/>
        <v>0</v>
      </c>
      <c r="H16" s="54"/>
      <c r="I16" s="242">
        <v>10</v>
      </c>
      <c r="J16" s="243">
        <f>IF('Tariff Inputs'!$D$21="Yes",IF(I16&gt;0,G16/I16,0),0)</f>
        <v>0</v>
      </c>
      <c r="K16" s="198">
        <f>IF('Tariff Inputs'!$D$22="Yes",IF(I16&gt;0,HLOOKUP('Capital Costs Details'!I16,'Tariff Calculator'!$C$5:$AR$11,7),0),0)</f>
        <v>0</v>
      </c>
      <c r="L16" s="244">
        <f>IF('Tariff Inputs'!$D$22="Yes",IF(K16&gt;0,G16/K16,0),0)</f>
        <v>0</v>
      </c>
    </row>
    <row r="17" spans="3:12" x14ac:dyDescent="0.2">
      <c r="C17" s="34" t="s">
        <v>163</v>
      </c>
      <c r="D17" s="239"/>
      <c r="E17" s="240"/>
      <c r="F17" s="240"/>
      <c r="G17" s="241">
        <f t="shared" si="1"/>
        <v>0</v>
      </c>
      <c r="H17" s="54"/>
      <c r="I17" s="242">
        <f>'Tariff Inputs'!D17</f>
        <v>25</v>
      </c>
      <c r="J17" s="243">
        <f>IF('Tariff Inputs'!$D$21="Yes",IF(I17&gt;0,G17/I17,0),0)</f>
        <v>0</v>
      </c>
      <c r="K17" s="198">
        <f>IF('Tariff Inputs'!$D$22="Yes",IF(I17&gt;0,HLOOKUP('Capital Costs Details'!I17,'Tariff Calculator'!$C$5:$AR$11,7),0),0)</f>
        <v>0</v>
      </c>
      <c r="L17" s="244">
        <f>IF('Tariff Inputs'!$D$22="Yes",IF(K17&gt;0,G17/K17,0),0)</f>
        <v>0</v>
      </c>
    </row>
    <row r="18" spans="3:12" x14ac:dyDescent="0.2">
      <c r="C18" s="34" t="s">
        <v>2</v>
      </c>
      <c r="D18" s="239"/>
      <c r="E18" s="240"/>
      <c r="F18" s="240"/>
      <c r="G18" s="241">
        <f t="shared" si="1"/>
        <v>0</v>
      </c>
      <c r="H18" s="54"/>
      <c r="I18" s="242">
        <v>15</v>
      </c>
      <c r="J18" s="243">
        <f>IF('Tariff Inputs'!$D$21="Yes",IF(I18&gt;0,G18/I18,0),0)</f>
        <v>0</v>
      </c>
      <c r="K18" s="198">
        <f>IF('Tariff Inputs'!$D$22="Yes",IF(I18&gt;0,HLOOKUP('Capital Costs Details'!I18,'Tariff Calculator'!$C$5:$AR$11,7),0),0)</f>
        <v>0</v>
      </c>
      <c r="L18" s="244">
        <f>IF('Tariff Inputs'!$D$22="Yes",IF(K18&gt;0,G18/K18,0),0)</f>
        <v>0</v>
      </c>
    </row>
    <row r="19" spans="3:12" x14ac:dyDescent="0.2">
      <c r="C19" s="34" t="s">
        <v>162</v>
      </c>
      <c r="D19" s="239"/>
      <c r="E19" s="240"/>
      <c r="F19" s="240"/>
      <c r="G19" s="241">
        <f t="shared" si="1"/>
        <v>0</v>
      </c>
      <c r="H19" s="54"/>
      <c r="I19" s="242">
        <v>15</v>
      </c>
      <c r="J19" s="243">
        <f>IF('Tariff Inputs'!$D$21="Yes",IF(I19&gt;0,G19/I19,0),0)</f>
        <v>0</v>
      </c>
      <c r="K19" s="198">
        <f>IF('Tariff Inputs'!$D$22="Yes",IF(I19&gt;0,HLOOKUP('Capital Costs Details'!I19,'Tariff Calculator'!$C$5:$AR$11,7),0),0)</f>
        <v>0</v>
      </c>
      <c r="L19" s="244">
        <f>IF('Tariff Inputs'!$D$22="Yes",IF(K19&gt;0,G19/K19,0),0)</f>
        <v>0</v>
      </c>
    </row>
    <row r="20" spans="3:12" x14ac:dyDescent="0.2">
      <c r="C20" s="34" t="s">
        <v>141</v>
      </c>
      <c r="D20" s="239"/>
      <c r="E20" s="240"/>
      <c r="F20" s="240"/>
      <c r="G20" s="241">
        <f t="shared" ref="G20:G21" si="3">SUM(D20:F20)</f>
        <v>0</v>
      </c>
      <c r="H20" s="54"/>
      <c r="I20" s="242">
        <v>10</v>
      </c>
      <c r="J20" s="243">
        <f>IF('Tariff Inputs'!$D$21="Yes",IF(I20&gt;0,G20/I20,0),0)</f>
        <v>0</v>
      </c>
      <c r="K20" s="198">
        <f>IF('Tariff Inputs'!$D$22="Yes",IF(I20&gt;0,HLOOKUP('Capital Costs Details'!I20,'Tariff Calculator'!$C$5:$AR$11,7),0),0)</f>
        <v>0</v>
      </c>
      <c r="L20" s="244">
        <f>IF('Tariff Inputs'!$D$22="Yes",IF(K20&gt;0,G20/K20,0),0)</f>
        <v>0</v>
      </c>
    </row>
    <row r="21" spans="3:12" x14ac:dyDescent="0.2">
      <c r="C21" s="34" t="s">
        <v>195</v>
      </c>
      <c r="D21" s="239"/>
      <c r="E21" s="240"/>
      <c r="F21" s="240"/>
      <c r="G21" s="241">
        <f t="shared" si="3"/>
        <v>0</v>
      </c>
      <c r="H21" s="54"/>
      <c r="I21" s="242">
        <v>5</v>
      </c>
      <c r="J21" s="243">
        <f>IF('Tariff Inputs'!$D$21="Yes",IF(I21&gt;0,G21/I21,0),0)</f>
        <v>0</v>
      </c>
      <c r="K21" s="198">
        <f>IF('Tariff Inputs'!$D$22="Yes",IF(I21&gt;0,HLOOKUP('Capital Costs Details'!I21,'Tariff Calculator'!$C$5:$AR$11,7),0),0)</f>
        <v>0</v>
      </c>
      <c r="L21" s="244">
        <f>IF('Tariff Inputs'!$D$22="Yes",IF(K21&gt;0,G21/K21,0),0)</f>
        <v>0</v>
      </c>
    </row>
    <row r="22" spans="3:12" x14ac:dyDescent="0.2">
      <c r="C22" s="34" t="s">
        <v>144</v>
      </c>
      <c r="D22" s="239"/>
      <c r="E22" s="240"/>
      <c r="F22" s="240"/>
      <c r="G22" s="241">
        <f t="shared" si="1"/>
        <v>0</v>
      </c>
      <c r="H22" s="54"/>
      <c r="I22" s="242">
        <v>5</v>
      </c>
      <c r="J22" s="243">
        <f>IF('Tariff Inputs'!$D$21="Yes",IF(I22&gt;0,G22/I22,0),0)</f>
        <v>0</v>
      </c>
      <c r="K22" s="198">
        <f>IF('Tariff Inputs'!$D$22="Yes",IF(I22&gt;0,HLOOKUP('Capital Costs Details'!I22,'Tariff Calculator'!$C$5:$AR$11,7),0),0)</f>
        <v>0</v>
      </c>
      <c r="L22" s="244">
        <f>IF('Tariff Inputs'!$D$22="Yes",IF(K22&gt;0,G22/K22,0),0)</f>
        <v>0</v>
      </c>
    </row>
    <row r="23" spans="3:12" x14ac:dyDescent="0.2">
      <c r="C23" s="34" t="s">
        <v>9</v>
      </c>
      <c r="D23" s="239"/>
      <c r="E23" s="240"/>
      <c r="F23" s="240"/>
      <c r="G23" s="241">
        <f t="shared" si="1"/>
        <v>0</v>
      </c>
      <c r="H23" s="54"/>
      <c r="I23" s="242">
        <f>'Tariff Inputs'!D17</f>
        <v>25</v>
      </c>
      <c r="J23" s="243">
        <f>IF('Tariff Inputs'!$D$21="Yes",IF(I23&gt;0,G23/I23,0),0)</f>
        <v>0</v>
      </c>
      <c r="K23" s="198">
        <f>IF('Tariff Inputs'!$D$22="Yes",IF(I23&gt;0,HLOOKUP('Capital Costs Details'!I23,'Tariff Calculator'!$C$5:$AR$11,7),0),0)</f>
        <v>0</v>
      </c>
      <c r="L23" s="244">
        <f>IF('Tariff Inputs'!$D$22="Yes",IF(K23&gt;0,G23/K23,0),0)</f>
        <v>0</v>
      </c>
    </row>
    <row r="24" spans="3:12" x14ac:dyDescent="0.2">
      <c r="C24" s="34" t="s">
        <v>8</v>
      </c>
      <c r="D24" s="239"/>
      <c r="E24" s="240"/>
      <c r="F24" s="240"/>
      <c r="G24" s="241">
        <f t="shared" si="1"/>
        <v>0</v>
      </c>
      <c r="H24" s="54"/>
      <c r="I24" s="242">
        <f>'Tariff Inputs'!D17</f>
        <v>25</v>
      </c>
      <c r="J24" s="243">
        <f>IF('Tariff Inputs'!$D$21="Yes",IF(I24&gt;0,G24/I24,0),0)</f>
        <v>0</v>
      </c>
      <c r="K24" s="198">
        <f>IF('Tariff Inputs'!$D$22="Yes",IF(I24&gt;0,HLOOKUP('Capital Costs Details'!I24,'Tariff Calculator'!$C$5:$AR$11,7),0),0)</f>
        <v>0</v>
      </c>
      <c r="L24" s="244">
        <f>IF('Tariff Inputs'!$D$22="Yes",IF(K24&gt;0,G24/K24,0),0)</f>
        <v>0</v>
      </c>
    </row>
    <row r="25" spans="3:12" x14ac:dyDescent="0.2">
      <c r="C25" s="34" t="s">
        <v>121</v>
      </c>
      <c r="D25" s="239"/>
      <c r="E25" s="240"/>
      <c r="F25" s="240"/>
      <c r="G25" s="241">
        <f t="shared" si="1"/>
        <v>0</v>
      </c>
      <c r="H25" s="54"/>
      <c r="I25" s="242">
        <v>5</v>
      </c>
      <c r="J25" s="243">
        <f>IF('Tariff Inputs'!$D$21="Yes",IF(I25&gt;0,G25/I25,0),0)</f>
        <v>0</v>
      </c>
      <c r="K25" s="198">
        <f>IF('Tariff Inputs'!$D$22="Yes",IF(I25&gt;0,HLOOKUP('Capital Costs Details'!I25,'Tariff Calculator'!$C$5:$AR$11,7),0),0)</f>
        <v>0</v>
      </c>
      <c r="L25" s="244">
        <f>IF('Tariff Inputs'!$D$22="Yes",IF(K25&gt;0,G25/K25,0),0)</f>
        <v>0</v>
      </c>
    </row>
    <row r="26" spans="3:12" x14ac:dyDescent="0.2">
      <c r="C26" s="34" t="s">
        <v>7</v>
      </c>
      <c r="D26" s="239"/>
      <c r="E26" s="240"/>
      <c r="F26" s="240"/>
      <c r="G26" s="241">
        <f t="shared" si="1"/>
        <v>0</v>
      </c>
      <c r="H26" s="54"/>
      <c r="I26" s="242">
        <f>'Tariff Inputs'!D17</f>
        <v>25</v>
      </c>
      <c r="J26" s="243">
        <f>IF('Tariff Inputs'!$D$21="Yes",IF(I26&gt;0,G26/I26,0),0)</f>
        <v>0</v>
      </c>
      <c r="K26" s="198">
        <f>IF('Tariff Inputs'!$D$22="Yes",IF(I26&gt;0,HLOOKUP('Capital Costs Details'!I26,'Tariff Calculator'!$C$5:$AR$11,7),0),0)</f>
        <v>0</v>
      </c>
      <c r="L26" s="244">
        <f>IF('Tariff Inputs'!$D$22="Yes",IF(K26&gt;0,G26/K26,0),0)</f>
        <v>0</v>
      </c>
    </row>
    <row r="27" spans="3:12" x14ac:dyDescent="0.2">
      <c r="C27" s="34" t="s">
        <v>6</v>
      </c>
      <c r="D27" s="239"/>
      <c r="E27" s="240"/>
      <c r="F27" s="240"/>
      <c r="G27" s="241">
        <f t="shared" si="1"/>
        <v>0</v>
      </c>
      <c r="H27" s="54"/>
      <c r="I27" s="242">
        <f>'Tariff Inputs'!D17</f>
        <v>25</v>
      </c>
      <c r="J27" s="243">
        <f>IF('Tariff Inputs'!$D$21="Yes",IF(I27&gt;0,G27/I27,0),0)</f>
        <v>0</v>
      </c>
      <c r="K27" s="198">
        <f>IF('Tariff Inputs'!$D$22="Yes",IF(I27&gt;0,HLOOKUP('Capital Costs Details'!I27,'Tariff Calculator'!$C$5:$AR$11,7),0),0)</f>
        <v>0</v>
      </c>
      <c r="L27" s="244">
        <f>IF('Tariff Inputs'!$D$22="Yes",IF(K27&gt;0,G27/K27,0),0)</f>
        <v>0</v>
      </c>
    </row>
    <row r="28" spans="3:12" x14ac:dyDescent="0.2">
      <c r="C28" s="34" t="s">
        <v>123</v>
      </c>
      <c r="D28" s="239"/>
      <c r="E28" s="240"/>
      <c r="F28" s="240"/>
      <c r="G28" s="241">
        <f t="shared" si="1"/>
        <v>0</v>
      </c>
      <c r="H28" s="54"/>
      <c r="I28" s="242">
        <f>'Tariff Inputs'!D17</f>
        <v>25</v>
      </c>
      <c r="J28" s="243">
        <f>IF('Tariff Inputs'!$D$21="Yes",IF(I28&gt;0,G28/I28,0),0)</f>
        <v>0</v>
      </c>
      <c r="K28" s="198">
        <f>IF('Tariff Inputs'!$D$22="Yes",IF(I28&gt;0,HLOOKUP('Capital Costs Details'!I28,'Tariff Calculator'!$C$5:$AR$11,7),0),0)</f>
        <v>0</v>
      </c>
      <c r="L28" s="244">
        <f>IF('Tariff Inputs'!$D$22="Yes",IF(K28&gt;0,G28/K28,0),0)</f>
        <v>0</v>
      </c>
    </row>
    <row r="29" spans="3:12" x14ac:dyDescent="0.2">
      <c r="C29" s="96" t="s">
        <v>459</v>
      </c>
      <c r="D29" s="180"/>
      <c r="E29" s="240"/>
      <c r="F29" s="240"/>
      <c r="G29" s="241">
        <f t="shared" si="1"/>
        <v>0</v>
      </c>
      <c r="H29" s="54"/>
      <c r="I29" s="242">
        <f>'Tariff Inputs'!D17</f>
        <v>25</v>
      </c>
      <c r="J29" s="243">
        <f>IF('Tariff Inputs'!$D$21="Yes",IF(I29&gt;0,G29/I29,0),0)</f>
        <v>0</v>
      </c>
      <c r="K29" s="198">
        <f>IF('Tariff Inputs'!$D$22="Yes",IF(I29&gt;0,HLOOKUP('Capital Costs Details'!I29,'Tariff Calculator'!$C$5:$AR$11,7),0),0)</f>
        <v>0</v>
      </c>
      <c r="L29" s="244">
        <f>IF('Tariff Inputs'!$D$22="Yes",IF(K29&gt;0,G29/K29,0),0)</f>
        <v>0</v>
      </c>
    </row>
    <row r="30" spans="3:12" x14ac:dyDescent="0.2">
      <c r="C30" s="34"/>
      <c r="D30" s="239"/>
      <c r="E30" s="240"/>
      <c r="F30" s="240"/>
      <c r="G30" s="241">
        <f t="shared" si="1"/>
        <v>0</v>
      </c>
      <c r="H30" s="254"/>
      <c r="I30" s="242"/>
      <c r="J30" s="243">
        <f>IF('Tariff Inputs'!$D$21="Yes",IF(I30&gt;0,G30/I30,0),0)</f>
        <v>0</v>
      </c>
      <c r="K30" s="198">
        <f>IF('Tariff Inputs'!$D$22="Yes",IF(I30&gt;0,HLOOKUP('Capital Costs Details'!I30,'Tariff Calculator'!$C$5:$AR$11,7),0),0)</f>
        <v>0</v>
      </c>
      <c r="L30" s="244">
        <f>IF('Tariff Inputs'!$D$22="Yes",IF(K30&gt;0,G30/K30,0),0)</f>
        <v>0</v>
      </c>
    </row>
    <row r="31" spans="3:12" x14ac:dyDescent="0.2">
      <c r="C31" s="698" t="s">
        <v>363</v>
      </c>
      <c r="D31" s="701"/>
      <c r="E31" s="701"/>
      <c r="F31" s="701"/>
      <c r="G31" s="701"/>
      <c r="H31" s="701"/>
      <c r="I31" s="701"/>
      <c r="J31" s="701"/>
      <c r="K31" s="701"/>
      <c r="L31" s="702"/>
    </row>
    <row r="32" spans="3:12" x14ac:dyDescent="0.2">
      <c r="C32" s="34" t="s">
        <v>174</v>
      </c>
      <c r="D32" s="239"/>
      <c r="E32" s="240"/>
      <c r="F32" s="240"/>
      <c r="G32" s="241">
        <f t="shared" si="1"/>
        <v>0</v>
      </c>
      <c r="H32" s="261"/>
      <c r="I32" s="242">
        <f>I9</f>
        <v>10</v>
      </c>
      <c r="J32" s="243">
        <f>IF('Tariff Inputs'!$D$21="Yes",IF(I32&gt;0,G32/I32,0),0)</f>
        <v>0</v>
      </c>
      <c r="K32" s="198">
        <f>IF('Tariff Inputs'!$D$22="Yes",IF(I32&gt;0,HLOOKUP('Capital Costs Details'!I32,'Tariff Calculator'!$C$5:$AR$11,7),0),0)</f>
        <v>0</v>
      </c>
      <c r="L32" s="244">
        <f>IF('Tariff Inputs'!$D$22="Yes",IF(K32&gt;0,G32/K32,0),0)</f>
        <v>0</v>
      </c>
    </row>
    <row r="33" spans="3:12" x14ac:dyDescent="0.2">
      <c r="C33" s="34" t="s">
        <v>156</v>
      </c>
      <c r="D33" s="239"/>
      <c r="E33" s="240"/>
      <c r="F33" s="240"/>
      <c r="G33" s="241">
        <f t="shared" si="1"/>
        <v>0</v>
      </c>
      <c r="H33" s="54"/>
      <c r="I33" s="242">
        <f>I10</f>
        <v>25</v>
      </c>
      <c r="J33" s="243">
        <f>IF('Tariff Inputs'!$D$21="Yes",IF(I33&gt;0,G33/I33,0),0)</f>
        <v>0</v>
      </c>
      <c r="K33" s="198">
        <f>IF('Tariff Inputs'!$D$22="Yes",IF(I33&gt;0,HLOOKUP('Capital Costs Details'!I33,'Tariff Calculator'!$C$5:$AR$11,7),0),0)</f>
        <v>0</v>
      </c>
      <c r="L33" s="244">
        <f>IF('Tariff Inputs'!$D$22="Yes",IF(K33&gt;0,G33/K33,0),0)</f>
        <v>0</v>
      </c>
    </row>
    <row r="34" spans="3:12" ht="15" x14ac:dyDescent="0.25">
      <c r="C34" s="34" t="s">
        <v>120</v>
      </c>
      <c r="D34" s="239"/>
      <c r="E34" s="240"/>
      <c r="F34" s="240"/>
      <c r="G34" s="241">
        <f t="shared" si="1"/>
        <v>0</v>
      </c>
      <c r="H34" s="54"/>
      <c r="I34" s="562"/>
      <c r="J34" s="243">
        <f>IF('Tariff Inputs'!$D$21="Yes",IF(I34&gt;0,G34/I34,0),0)</f>
        <v>0</v>
      </c>
      <c r="K34" s="198">
        <f>IF('Tariff Inputs'!$D$22="Yes",IF(I34&gt;0,HLOOKUP('Capital Costs Details'!I34,'Tariff Calculator'!$C$5:$AR$11,7),0),0)</f>
        <v>0</v>
      </c>
      <c r="L34" s="244"/>
    </row>
    <row r="35" spans="3:12" x14ac:dyDescent="0.2">
      <c r="C35" s="34" t="s">
        <v>119</v>
      </c>
      <c r="D35" s="239"/>
      <c r="E35" s="240"/>
      <c r="F35" s="240"/>
      <c r="G35" s="241">
        <f t="shared" si="1"/>
        <v>0</v>
      </c>
      <c r="H35" s="54"/>
      <c r="I35" s="242">
        <f>I12</f>
        <v>25</v>
      </c>
      <c r="J35" s="243">
        <f>IF('Tariff Inputs'!$D$21="Yes",IF(I35&gt;0,G35/I35,0),0)</f>
        <v>0</v>
      </c>
      <c r="K35" s="198">
        <f>IF('Tariff Inputs'!$D$22="Yes",IF(I35&gt;0,HLOOKUP('Capital Costs Details'!I35,'Tariff Calculator'!$C$5:$AR$11,7),0),0)</f>
        <v>0</v>
      </c>
      <c r="L35" s="244">
        <f>IF('Tariff Inputs'!$D$22="Yes",IF(K35&gt;0,G35/K35,0),0)</f>
        <v>0</v>
      </c>
    </row>
    <row r="36" spans="3:12" x14ac:dyDescent="0.2">
      <c r="C36" s="34" t="s">
        <v>206</v>
      </c>
      <c r="D36" s="239"/>
      <c r="E36" s="240"/>
      <c r="F36" s="240"/>
      <c r="G36" s="241">
        <f t="shared" si="1"/>
        <v>0</v>
      </c>
      <c r="H36" s="54"/>
      <c r="I36" s="242">
        <f>I13</f>
        <v>25</v>
      </c>
      <c r="J36" s="243">
        <f>IF('Tariff Inputs'!$D$21="Yes",IF(I36&gt;0,G36/I36,0),0)</f>
        <v>0</v>
      </c>
      <c r="K36" s="198">
        <f>IF('Tariff Inputs'!$D$22="Yes",IF(I36&gt;0,HLOOKUP('Capital Costs Details'!I36,'Tariff Calculator'!$C$5:$AR$11,7),0),0)</f>
        <v>0</v>
      </c>
      <c r="L36" s="244">
        <f>IF('Tariff Inputs'!$D$22="Yes",IF(K36&gt;0,G36/K36,0),0)</f>
        <v>0</v>
      </c>
    </row>
    <row r="37" spans="3:12" x14ac:dyDescent="0.2">
      <c r="C37" s="34" t="s">
        <v>134</v>
      </c>
      <c r="D37" s="239"/>
      <c r="E37" s="240"/>
      <c r="F37" s="240"/>
      <c r="G37" s="241">
        <f t="shared" si="1"/>
        <v>0</v>
      </c>
      <c r="H37" s="54"/>
      <c r="I37" s="242">
        <f>'Tariff Inputs'!D17</f>
        <v>25</v>
      </c>
      <c r="J37" s="243">
        <f>IF('Tariff Inputs'!$D$21="Yes",IF(I37&gt;0,G37/I37,0),0)</f>
        <v>0</v>
      </c>
      <c r="K37" s="198">
        <f>IF('Tariff Inputs'!$D$22="Yes",IF(I37&gt;0,HLOOKUP('Capital Costs Details'!I37,'Tariff Calculator'!$C$5:$AR$11,7),0),0)</f>
        <v>0</v>
      </c>
      <c r="L37" s="244">
        <f>IF('Tariff Inputs'!$D$22="Yes",IF(K37&gt;0,G37/K37,0),0)</f>
        <v>0</v>
      </c>
    </row>
    <row r="38" spans="3:12" x14ac:dyDescent="0.2">
      <c r="C38" s="34" t="s">
        <v>135</v>
      </c>
      <c r="D38" s="239"/>
      <c r="E38" s="240"/>
      <c r="F38" s="240"/>
      <c r="G38" s="241">
        <f t="shared" si="1"/>
        <v>0</v>
      </c>
      <c r="H38" s="54"/>
      <c r="I38" s="242">
        <f>'Tariff Inputs'!D17</f>
        <v>25</v>
      </c>
      <c r="J38" s="243">
        <f>IF('Tariff Inputs'!$D$21="Yes",IF(I38&gt;0,G38/I38,0),0)</f>
        <v>0</v>
      </c>
      <c r="K38" s="198">
        <f>IF('Tariff Inputs'!$D$22="Yes",IF(I38&gt;0,HLOOKUP('Capital Costs Details'!I38,'Tariff Calculator'!$C$5:$AR$11,7),0),0)</f>
        <v>0</v>
      </c>
      <c r="L38" s="244">
        <f>IF('Tariff Inputs'!$D$22="Yes",IF(K38&gt;0,G38/K38,0),0)</f>
        <v>0</v>
      </c>
    </row>
    <row r="39" spans="3:12" x14ac:dyDescent="0.2">
      <c r="C39" s="34" t="s">
        <v>136</v>
      </c>
      <c r="D39" s="239"/>
      <c r="E39" s="240"/>
      <c r="F39" s="240"/>
      <c r="G39" s="241">
        <f t="shared" si="1"/>
        <v>0</v>
      </c>
      <c r="H39" s="54"/>
      <c r="I39" s="242">
        <f>'Tariff Inputs'!D17</f>
        <v>25</v>
      </c>
      <c r="J39" s="243">
        <f>IF('Tariff Inputs'!$D$21="Yes",IF(I39&gt;0,G39/I39,0),0)</f>
        <v>0</v>
      </c>
      <c r="K39" s="198">
        <f>IF('Tariff Inputs'!$D$22="Yes",IF(I39&gt;0,HLOOKUP('Capital Costs Details'!I39,'Tariff Calculator'!$C$5:$AR$11,7),0),0)</f>
        <v>0</v>
      </c>
      <c r="L39" s="244">
        <f>IF('Tariff Inputs'!$D$22="Yes",IF(K39&gt;0,G39/K39,0),0)</f>
        <v>0</v>
      </c>
    </row>
    <row r="40" spans="3:12" x14ac:dyDescent="0.2">
      <c r="C40" s="34" t="s">
        <v>137</v>
      </c>
      <c r="D40" s="239"/>
      <c r="E40" s="240"/>
      <c r="F40" s="240"/>
      <c r="G40" s="241">
        <f t="shared" si="1"/>
        <v>0</v>
      </c>
      <c r="H40" s="54"/>
      <c r="I40" s="242">
        <f>'Tariff Inputs'!D17</f>
        <v>25</v>
      </c>
      <c r="J40" s="243">
        <f>IF('Tariff Inputs'!$D$21="Yes",IF(I40&gt;0,G40/I40,0),0)</f>
        <v>0</v>
      </c>
      <c r="K40" s="198">
        <f>IF('Tariff Inputs'!$D$22="Yes",IF(I40&gt;0,HLOOKUP('Capital Costs Details'!I40,'Tariff Calculator'!$C$5:$AR$11,7),0),0)</f>
        <v>0</v>
      </c>
      <c r="L40" s="244">
        <f>IF('Tariff Inputs'!$D$22="Yes",IF(K40&gt;0,G40/K40,0),0)</f>
        <v>0</v>
      </c>
    </row>
    <row r="41" spans="3:12" x14ac:dyDescent="0.2">
      <c r="C41" s="34" t="s">
        <v>138</v>
      </c>
      <c r="D41" s="239"/>
      <c r="E41" s="240"/>
      <c r="F41" s="240"/>
      <c r="G41" s="241">
        <f t="shared" si="1"/>
        <v>0</v>
      </c>
      <c r="H41" s="54"/>
      <c r="I41" s="242">
        <f>'Tariff Inputs'!D17</f>
        <v>25</v>
      </c>
      <c r="J41" s="243">
        <f>IF('Tariff Inputs'!$D$21="Yes",IF(I41&gt;0,G41/I41,0),0)</f>
        <v>0</v>
      </c>
      <c r="K41" s="198">
        <f>IF('Tariff Inputs'!$D$22="Yes",IF(I41&gt;0,HLOOKUP('Capital Costs Details'!I41,'Tariff Calculator'!$C$5:$AR$11,7),0),0)</f>
        <v>0</v>
      </c>
      <c r="L41" s="244">
        <f>IF('Tariff Inputs'!$D$22="Yes",IF(K41&gt;0,G41/K41,0),0)</f>
        <v>0</v>
      </c>
    </row>
    <row r="42" spans="3:12" x14ac:dyDescent="0.2">
      <c r="C42" s="34" t="s">
        <v>139</v>
      </c>
      <c r="D42" s="239"/>
      <c r="E42" s="240"/>
      <c r="F42" s="240"/>
      <c r="G42" s="241">
        <f t="shared" si="1"/>
        <v>0</v>
      </c>
      <c r="H42" s="54"/>
      <c r="I42" s="242">
        <f>'Tariff Inputs'!D17</f>
        <v>25</v>
      </c>
      <c r="J42" s="243">
        <f>IF('Tariff Inputs'!$D$21="Yes",IF(I42&gt;0,G42/I42,0),0)</f>
        <v>0</v>
      </c>
      <c r="K42" s="198">
        <f>IF('Tariff Inputs'!$D$22="Yes",IF(I42&gt;0,HLOOKUP('Capital Costs Details'!I42,'Tariff Calculator'!$C$5:$AR$11,7),0),0)</f>
        <v>0</v>
      </c>
      <c r="L42" s="244">
        <f>IF('Tariff Inputs'!$D$22="Yes",IF(K42&gt;0,G42/K42,0),0)</f>
        <v>0</v>
      </c>
    </row>
    <row r="43" spans="3:12" x14ac:dyDescent="0.2">
      <c r="C43" s="34" t="s">
        <v>140</v>
      </c>
      <c r="D43" s="239"/>
      <c r="E43" s="240"/>
      <c r="F43" s="240"/>
      <c r="G43" s="241">
        <f t="shared" si="1"/>
        <v>0</v>
      </c>
      <c r="H43" s="54"/>
      <c r="I43" s="242">
        <f>'Tariff Inputs'!D17</f>
        <v>25</v>
      </c>
      <c r="J43" s="243">
        <f>IF('Tariff Inputs'!$D$21="Yes",IF(I43&gt;0,G43/I43,0),0)</f>
        <v>0</v>
      </c>
      <c r="K43" s="198">
        <f>IF('Tariff Inputs'!$D$22="Yes",IF(I43&gt;0,HLOOKUP('Capital Costs Details'!I43,'Tariff Calculator'!$C$5:$AR$11,7),0),0)</f>
        <v>0</v>
      </c>
      <c r="L43" s="244">
        <f>IF('Tariff Inputs'!$D$22="Yes",IF(K43&gt;0,G43/K43,0),0)</f>
        <v>0</v>
      </c>
    </row>
    <row r="44" spans="3:12" x14ac:dyDescent="0.2">
      <c r="C44" s="34" t="s">
        <v>5</v>
      </c>
      <c r="D44" s="239"/>
      <c r="E44" s="240"/>
      <c r="F44" s="240"/>
      <c r="G44" s="241">
        <f t="shared" si="1"/>
        <v>0</v>
      </c>
      <c r="H44" s="54"/>
      <c r="I44" s="242">
        <f>'Tariff Inputs'!D17</f>
        <v>25</v>
      </c>
      <c r="J44" s="243">
        <f>IF('Tariff Inputs'!$D$21="Yes",IF(I44&gt;0,G44/I44,0),0)</f>
        <v>0</v>
      </c>
      <c r="K44" s="198">
        <f>IF('Tariff Inputs'!$D$22="Yes",IF(I44&gt;0,HLOOKUP('Capital Costs Details'!I44,'Tariff Calculator'!$C$5:$AR$11,7),0),0)</f>
        <v>0</v>
      </c>
      <c r="L44" s="244">
        <f>IF('Tariff Inputs'!$D$22="Yes",IF(K44&gt;0,G44/K44,0),0)</f>
        <v>0</v>
      </c>
    </row>
    <row r="45" spans="3:12" x14ac:dyDescent="0.2">
      <c r="C45" s="34" t="s">
        <v>141</v>
      </c>
      <c r="D45" s="239"/>
      <c r="E45" s="240"/>
      <c r="F45" s="240"/>
      <c r="G45" s="241">
        <f t="shared" si="1"/>
        <v>0</v>
      </c>
      <c r="H45" s="54"/>
      <c r="I45" s="242">
        <v>10</v>
      </c>
      <c r="J45" s="243">
        <f>IF('Tariff Inputs'!$D$21="Yes",IF(I45&gt;0,G45/I45,0),0)</f>
        <v>0</v>
      </c>
      <c r="K45" s="198">
        <f>IF('Tariff Inputs'!$D$22="Yes",IF(I45&gt;0,HLOOKUP('Capital Costs Details'!I45,'Tariff Calculator'!$C$5:$AR$11,7),0),0)</f>
        <v>0</v>
      </c>
      <c r="L45" s="244">
        <f>IF('Tariff Inputs'!$D$22="Yes",IF(K45&gt;0,G45/K45,0),0)</f>
        <v>0</v>
      </c>
    </row>
    <row r="46" spans="3:12" x14ac:dyDescent="0.2">
      <c r="C46" s="96" t="s">
        <v>142</v>
      </c>
      <c r="D46" s="239"/>
      <c r="E46" s="240"/>
      <c r="F46" s="240"/>
      <c r="G46" s="241">
        <f t="shared" si="1"/>
        <v>0</v>
      </c>
      <c r="H46" s="54"/>
      <c r="I46" s="242">
        <v>15</v>
      </c>
      <c r="J46" s="243">
        <f>IF('Tariff Inputs'!$D$21="Yes",IF(I46&gt;0,G46/I46,0),0)</f>
        <v>0</v>
      </c>
      <c r="K46" s="198">
        <f>IF('Tariff Inputs'!$D$22="Yes",IF(I46&gt;0,HLOOKUP('Capital Costs Details'!I46,'Tariff Calculator'!$C$5:$AR$11,7),0),0)</f>
        <v>0</v>
      </c>
      <c r="L46" s="244">
        <f>IF('Tariff Inputs'!$D$22="Yes",IF(K46&gt;0,G46/K46,0),0)</f>
        <v>0</v>
      </c>
    </row>
    <row r="47" spans="3:12" x14ac:dyDescent="0.2">
      <c r="C47" s="34" t="s">
        <v>162</v>
      </c>
      <c r="D47" s="239"/>
      <c r="E47" s="240"/>
      <c r="F47" s="240"/>
      <c r="G47" s="241">
        <f t="shared" ref="G47" si="4">SUM(D47:F47)</f>
        <v>0</v>
      </c>
      <c r="H47" s="54"/>
      <c r="I47" s="242">
        <v>15</v>
      </c>
      <c r="J47" s="243">
        <f>IF('Tariff Inputs'!$D$21="Yes",IF(I47&gt;0,G47/I47,0),0)</f>
        <v>0</v>
      </c>
      <c r="K47" s="198">
        <f>IF('Tariff Inputs'!$D$22="Yes",IF(I47&gt;0,HLOOKUP('Capital Costs Details'!I47,'Tariff Calculator'!$C$5:$AR$11,7),0),0)</f>
        <v>0</v>
      </c>
      <c r="L47" s="244">
        <f>IF('Tariff Inputs'!$D$22="Yes",IF(K47&gt;0,G47/K47,0),0)</f>
        <v>0</v>
      </c>
    </row>
    <row r="48" spans="3:12" x14ac:dyDescent="0.2">
      <c r="C48" s="34" t="s">
        <v>143</v>
      </c>
      <c r="D48" s="239"/>
      <c r="E48" s="240"/>
      <c r="F48" s="240"/>
      <c r="G48" s="241">
        <f t="shared" si="1"/>
        <v>0</v>
      </c>
      <c r="H48" s="54"/>
      <c r="I48" s="242">
        <v>5</v>
      </c>
      <c r="J48" s="243">
        <f>IF('Tariff Inputs'!$D$21="Yes",IF(I48&gt;0,G48/I48,0),0)</f>
        <v>0</v>
      </c>
      <c r="K48" s="198">
        <f>IF('Tariff Inputs'!$D$22="Yes",IF(I48&gt;0,HLOOKUP('Capital Costs Details'!I48,'Tariff Calculator'!$C$5:$AR$11,7),0),0)</f>
        <v>0</v>
      </c>
      <c r="L48" s="244">
        <f>IF('Tariff Inputs'!$D$22="Yes",IF(K48&gt;0,G48/K48,0),0)</f>
        <v>0</v>
      </c>
    </row>
    <row r="49" spans="3:12" x14ac:dyDescent="0.2">
      <c r="C49" s="34" t="s">
        <v>144</v>
      </c>
      <c r="D49" s="239"/>
      <c r="E49" s="240"/>
      <c r="F49" s="240"/>
      <c r="G49" s="241">
        <f t="shared" si="1"/>
        <v>0</v>
      </c>
      <c r="H49" s="54"/>
      <c r="I49" s="242">
        <v>5</v>
      </c>
      <c r="J49" s="243">
        <f>IF('Tariff Inputs'!$D$21="Yes",IF(I49&gt;0,G49/I49,0),0)</f>
        <v>0</v>
      </c>
      <c r="K49" s="198">
        <f>IF('Tariff Inputs'!$D$22="Yes",IF(I49&gt;0,HLOOKUP('Capital Costs Details'!I49,'Tariff Calculator'!$C$5:$AR$11,7),0),0)</f>
        <v>0</v>
      </c>
      <c r="L49" s="244">
        <f>IF('Tariff Inputs'!$D$22="Yes",IF(K49&gt;0,G49/K49,0),0)</f>
        <v>0</v>
      </c>
    </row>
    <row r="50" spans="3:12" x14ac:dyDescent="0.2">
      <c r="C50" s="34" t="s">
        <v>8</v>
      </c>
      <c r="D50" s="239"/>
      <c r="E50" s="240"/>
      <c r="F50" s="240"/>
      <c r="G50" s="241">
        <f t="shared" si="1"/>
        <v>0</v>
      </c>
      <c r="H50" s="54"/>
      <c r="I50" s="242">
        <f>'Tariff Inputs'!D17</f>
        <v>25</v>
      </c>
      <c r="J50" s="243">
        <f>IF('Tariff Inputs'!$D$21="Yes",IF(I50&gt;0,G50/I50,0),0)</f>
        <v>0</v>
      </c>
      <c r="K50" s="198">
        <f>IF('Tariff Inputs'!$D$22="Yes",IF(I50&gt;0,HLOOKUP('Capital Costs Details'!I50,'Tariff Calculator'!$C$5:$AR$11,7),0),0)</f>
        <v>0</v>
      </c>
      <c r="L50" s="244">
        <f>IF('Tariff Inputs'!$D$22="Yes",IF(K50&gt;0,G50/K50,0),0)</f>
        <v>0</v>
      </c>
    </row>
    <row r="51" spans="3:12" x14ac:dyDescent="0.2">
      <c r="C51" s="34" t="s">
        <v>217</v>
      </c>
      <c r="D51" s="239"/>
      <c r="E51" s="240"/>
      <c r="F51" s="240"/>
      <c r="G51" s="241">
        <f t="shared" si="1"/>
        <v>0</v>
      </c>
      <c r="H51" s="54"/>
      <c r="I51" s="242">
        <f>'Tariff Inputs'!D17</f>
        <v>25</v>
      </c>
      <c r="J51" s="243">
        <f>IF('Tariff Inputs'!$D$21="Yes",IF(I51&gt;0,G51/I51,0),0)</f>
        <v>0</v>
      </c>
      <c r="K51" s="198">
        <f>IF('Tariff Inputs'!$D$22="Yes",IF(I51&gt;0,HLOOKUP('Capital Costs Details'!I51,'Tariff Calculator'!$C$5:$AR$11,7),0),0)</f>
        <v>0</v>
      </c>
      <c r="L51" s="244">
        <f>IF('Tariff Inputs'!$D$22="Yes",IF(K51&gt;0,G51/K51,0),0)</f>
        <v>0</v>
      </c>
    </row>
    <row r="52" spans="3:12" x14ac:dyDescent="0.2">
      <c r="C52" s="34" t="s">
        <v>145</v>
      </c>
      <c r="D52" s="239"/>
      <c r="E52" s="240"/>
      <c r="F52" s="240"/>
      <c r="G52" s="241">
        <f t="shared" si="1"/>
        <v>0</v>
      </c>
      <c r="H52" s="54"/>
      <c r="I52" s="242">
        <f>'Tariff Inputs'!D17</f>
        <v>25</v>
      </c>
      <c r="J52" s="243">
        <f>IF('Tariff Inputs'!$D$21="Yes",IF(I52&gt;0,G52/I52,0),0)</f>
        <v>0</v>
      </c>
      <c r="K52" s="198">
        <f>IF('Tariff Inputs'!$D$22="Yes",IF(I52&gt;0,HLOOKUP('Capital Costs Details'!I52,'Tariff Calculator'!$C$5:$AR$11,7),0),0)</f>
        <v>0</v>
      </c>
      <c r="L52" s="244">
        <f>IF('Tariff Inputs'!$D$22="Yes",IF(K52&gt;0,G52/K52,0),0)</f>
        <v>0</v>
      </c>
    </row>
    <row r="53" spans="3:12" x14ac:dyDescent="0.2">
      <c r="C53" s="34" t="s">
        <v>146</v>
      </c>
      <c r="D53" s="239"/>
      <c r="E53" s="240"/>
      <c r="F53" s="240"/>
      <c r="G53" s="241">
        <f t="shared" si="1"/>
        <v>0</v>
      </c>
      <c r="H53" s="54"/>
      <c r="I53" s="242">
        <f>'Tariff Inputs'!D17</f>
        <v>25</v>
      </c>
      <c r="J53" s="243">
        <f>IF('Tariff Inputs'!$D$21="Yes",IF(I53&gt;0,G53/I53,0),0)</f>
        <v>0</v>
      </c>
      <c r="K53" s="198">
        <f>IF('Tariff Inputs'!$D$22="Yes",IF(I53&gt;0,HLOOKUP('Capital Costs Details'!I53,'Tariff Calculator'!$C$5:$AR$11,7),0),0)</f>
        <v>0</v>
      </c>
      <c r="L53" s="244">
        <f>IF('Tariff Inputs'!$D$22="Yes",IF(K53&gt;0,G53/K53,0),0)</f>
        <v>0</v>
      </c>
    </row>
    <row r="54" spans="3:12" x14ac:dyDescent="0.2">
      <c r="C54" s="34" t="s">
        <v>147</v>
      </c>
      <c r="D54" s="239"/>
      <c r="E54" s="240"/>
      <c r="F54" s="240"/>
      <c r="G54" s="241">
        <f t="shared" si="1"/>
        <v>0</v>
      </c>
      <c r="H54" s="54"/>
      <c r="I54" s="242">
        <f>'Tariff Inputs'!D17</f>
        <v>25</v>
      </c>
      <c r="J54" s="243">
        <f>IF('Tariff Inputs'!$D$21="Yes",IF(I54&gt;0,G54/I54,0),0)</f>
        <v>0</v>
      </c>
      <c r="K54" s="198">
        <f>IF('Tariff Inputs'!$D$22="Yes",IF(I54&gt;0,HLOOKUP('Capital Costs Details'!I54,'Tariff Calculator'!$C$5:$AR$11,7),0),0)</f>
        <v>0</v>
      </c>
      <c r="L54" s="244">
        <f>IF('Tariff Inputs'!$D$22="Yes",IF(K54&gt;0,G54/K54,0),0)</f>
        <v>0</v>
      </c>
    </row>
    <row r="55" spans="3:12" x14ac:dyDescent="0.2">
      <c r="C55" s="34" t="s">
        <v>148</v>
      </c>
      <c r="D55" s="239"/>
      <c r="E55" s="240"/>
      <c r="F55" s="240"/>
      <c r="G55" s="241">
        <f t="shared" si="1"/>
        <v>0</v>
      </c>
      <c r="H55" s="54"/>
      <c r="I55" s="242">
        <f>'Tariff Inputs'!D17</f>
        <v>25</v>
      </c>
      <c r="J55" s="243">
        <f>IF('Tariff Inputs'!$D$21="Yes",IF(I55&gt;0,G55/I55,0),0)</f>
        <v>0</v>
      </c>
      <c r="K55" s="198">
        <f>IF('Tariff Inputs'!$D$22="Yes",IF(I55&gt;0,HLOOKUP('Capital Costs Details'!I55,'Tariff Calculator'!$C$5:$AR$11,7),0),0)</f>
        <v>0</v>
      </c>
      <c r="L55" s="244">
        <f>IF('Tariff Inputs'!$D$22="Yes",IF(K55&gt;0,G55/K55,0),0)</f>
        <v>0</v>
      </c>
    </row>
    <row r="56" spans="3:12" x14ac:dyDescent="0.2">
      <c r="C56" s="34" t="s">
        <v>149</v>
      </c>
      <c r="D56" s="239"/>
      <c r="E56" s="240"/>
      <c r="F56" s="240"/>
      <c r="G56" s="241">
        <f t="shared" si="1"/>
        <v>0</v>
      </c>
      <c r="H56" s="54"/>
      <c r="I56" s="242">
        <f>'Tariff Inputs'!D17</f>
        <v>25</v>
      </c>
      <c r="J56" s="243">
        <f>IF('Tariff Inputs'!$D$21="Yes",IF(I56&gt;0,G56/I56,0),0)</f>
        <v>0</v>
      </c>
      <c r="K56" s="198">
        <f>IF('Tariff Inputs'!$D$22="Yes",IF(I56&gt;0,HLOOKUP('Capital Costs Details'!I56,'Tariff Calculator'!$C$5:$AR$11,7),0),0)</f>
        <v>0</v>
      </c>
      <c r="L56" s="244">
        <f>IF('Tariff Inputs'!$D$22="Yes",IF(K56&gt;0,G56/K56,0),0)</f>
        <v>0</v>
      </c>
    </row>
    <row r="57" spans="3:12" x14ac:dyDescent="0.2">
      <c r="C57" s="34" t="s">
        <v>121</v>
      </c>
      <c r="D57" s="239"/>
      <c r="E57" s="240"/>
      <c r="F57" s="240"/>
      <c r="G57" s="241">
        <f t="shared" ref="G57" si="5">SUM(D57:F57)</f>
        <v>0</v>
      </c>
      <c r="H57" s="54"/>
      <c r="I57" s="242">
        <f>'Tariff Inputs'!D17</f>
        <v>25</v>
      </c>
      <c r="J57" s="243">
        <f>IF('Tariff Inputs'!$D$21="Yes",IF(I57&gt;0,G57/I57,0),0)</f>
        <v>0</v>
      </c>
      <c r="K57" s="198">
        <f>IF('Tariff Inputs'!$D$22="Yes",IF(I57&gt;0,HLOOKUP('Capital Costs Details'!I57,'Tariff Calculator'!$C$5:$AR$11,7),0),0)</f>
        <v>0</v>
      </c>
      <c r="L57" s="244">
        <f>IF('Tariff Inputs'!$D$22="Yes",IF(K57&gt;0,G57/K57,0),0)</f>
        <v>0</v>
      </c>
    </row>
    <row r="58" spans="3:12" x14ac:dyDescent="0.2">
      <c r="C58" s="34" t="s">
        <v>7</v>
      </c>
      <c r="D58" s="239"/>
      <c r="E58" s="240"/>
      <c r="F58" s="240"/>
      <c r="G58" s="241">
        <f t="shared" si="1"/>
        <v>0</v>
      </c>
      <c r="H58" s="54"/>
      <c r="I58" s="242">
        <f>'Tariff Inputs'!D17</f>
        <v>25</v>
      </c>
      <c r="J58" s="243">
        <f>IF('Tariff Inputs'!$D$21="Yes",IF(I58&gt;0,G58/I58,0),0)</f>
        <v>0</v>
      </c>
      <c r="K58" s="198">
        <f>IF('Tariff Inputs'!$D$22="Yes",IF(I58&gt;0,HLOOKUP('Capital Costs Details'!I58,'Tariff Calculator'!$C$5:$AR$11,7),0),0)</f>
        <v>0</v>
      </c>
      <c r="L58" s="244">
        <f>IF('Tariff Inputs'!$D$22="Yes",IF(K58&gt;0,G58/K58,0),0)</f>
        <v>0</v>
      </c>
    </row>
    <row r="59" spans="3:12" x14ac:dyDescent="0.2">
      <c r="C59" s="34" t="s">
        <v>6</v>
      </c>
      <c r="D59" s="239"/>
      <c r="E59" s="240"/>
      <c r="F59" s="240"/>
      <c r="G59" s="241">
        <f t="shared" si="1"/>
        <v>0</v>
      </c>
      <c r="H59" s="54"/>
      <c r="I59" s="242">
        <f>'Tariff Inputs'!D17</f>
        <v>25</v>
      </c>
      <c r="J59" s="243">
        <f>IF('Tariff Inputs'!$D$21="Yes",IF(I59&gt;0,G59/I59,0),0)</f>
        <v>0</v>
      </c>
      <c r="K59" s="198">
        <f>IF('Tariff Inputs'!$D$22="Yes",IF(I59&gt;0,HLOOKUP('Capital Costs Details'!I59,'Tariff Calculator'!$C$5:$AR$11,7),0),0)</f>
        <v>0</v>
      </c>
      <c r="L59" s="244">
        <f>IF('Tariff Inputs'!$D$22="Yes",IF(K59&gt;0,G59/K59,0),0)</f>
        <v>0</v>
      </c>
    </row>
    <row r="60" spans="3:12" x14ac:dyDescent="0.2">
      <c r="C60" s="34" t="s">
        <v>123</v>
      </c>
      <c r="D60" s="239"/>
      <c r="E60" s="240"/>
      <c r="F60" s="240"/>
      <c r="G60" s="241">
        <f t="shared" si="1"/>
        <v>0</v>
      </c>
      <c r="H60" s="54"/>
      <c r="I60" s="242">
        <f>'Tariff Inputs'!D17</f>
        <v>25</v>
      </c>
      <c r="J60" s="243">
        <f>IF('Tariff Inputs'!$D$21="Yes",IF(I60&gt;0,G60/I60,0),0)</f>
        <v>0</v>
      </c>
      <c r="K60" s="198">
        <f>IF('Tariff Inputs'!$D$22="Yes",IF(I60&gt;0,HLOOKUP('Capital Costs Details'!I60,'Tariff Calculator'!$C$5:$AR$11,7),0),0)</f>
        <v>0</v>
      </c>
      <c r="L60" s="244">
        <f>IF('Tariff Inputs'!$D$22="Yes",IF(K60&gt;0,G60/K60,0),0)</f>
        <v>0</v>
      </c>
    </row>
    <row r="61" spans="3:12" x14ac:dyDescent="0.2">
      <c r="C61" s="96" t="s">
        <v>459</v>
      </c>
      <c r="D61" s="255"/>
      <c r="E61" s="256"/>
      <c r="F61" s="256"/>
      <c r="G61" s="257">
        <f t="shared" si="1"/>
        <v>0</v>
      </c>
      <c r="H61" s="54"/>
      <c r="I61" s="142">
        <f>'Tariff Inputs'!D17</f>
        <v>25</v>
      </c>
      <c r="J61" s="258">
        <f>IF('Tariff Inputs'!$D$21="Yes",IF(I61&gt;0,G61/I61,0),0)</f>
        <v>0</v>
      </c>
      <c r="K61" s="259">
        <f>IF('Tariff Inputs'!$D$22="Yes",IF(I61&gt;0,HLOOKUP('Capital Costs Details'!I61,'Tariff Calculator'!$C$5:$AR$11,7),0),0)</f>
        <v>0</v>
      </c>
      <c r="L61" s="260">
        <f>IF('Tariff Inputs'!$D$22="Yes",IF(K61&gt;0,G61/K61,0),0)</f>
        <v>0</v>
      </c>
    </row>
    <row r="62" spans="3:12" x14ac:dyDescent="0.2">
      <c r="C62" s="698" t="s">
        <v>365</v>
      </c>
      <c r="D62" s="699"/>
      <c r="E62" s="699"/>
      <c r="F62" s="699"/>
      <c r="G62" s="699"/>
      <c r="H62" s="699"/>
      <c r="I62" s="699"/>
      <c r="J62" s="699"/>
      <c r="K62" s="699"/>
      <c r="L62" s="700"/>
    </row>
    <row r="63" spans="3:12" x14ac:dyDescent="0.2">
      <c r="C63" s="34" t="s">
        <v>174</v>
      </c>
      <c r="D63" s="239"/>
      <c r="E63" s="240"/>
      <c r="F63" s="240"/>
      <c r="G63" s="241">
        <f t="shared" si="1"/>
        <v>0</v>
      </c>
      <c r="H63" s="261"/>
      <c r="I63" s="242">
        <f>I9</f>
        <v>10</v>
      </c>
      <c r="J63" s="243">
        <f>IF('Tariff Inputs'!$D$21="Yes",IF(I63&gt;0,G63/I63,0),0)</f>
        <v>0</v>
      </c>
      <c r="K63" s="198">
        <f>IF('Tariff Inputs'!$D$22="Yes",IF(I63&gt;0,HLOOKUP('Capital Costs Details'!I63,'Tariff Calculator'!$C$5:$AR$11,7),0),0)</f>
        <v>0</v>
      </c>
      <c r="L63" s="244">
        <f>IF('Tariff Inputs'!$D$22="Yes",IF(K63&gt;0,G63/K63,0),0)</f>
        <v>0</v>
      </c>
    </row>
    <row r="64" spans="3:12" x14ac:dyDescent="0.2">
      <c r="C64" s="34" t="s">
        <v>156</v>
      </c>
      <c r="D64" s="239"/>
      <c r="E64" s="240"/>
      <c r="F64" s="240"/>
      <c r="G64" s="241">
        <f t="shared" si="1"/>
        <v>0</v>
      </c>
      <c r="H64" s="54"/>
      <c r="I64" s="242">
        <f>I10</f>
        <v>25</v>
      </c>
      <c r="J64" s="243">
        <f>IF('Tariff Inputs'!$D$21="Yes",IF(I64&gt;0,G64/I64,0),0)</f>
        <v>0</v>
      </c>
      <c r="K64" s="198">
        <f>IF('Tariff Inputs'!$D$22="Yes",IF(I64&gt;0,HLOOKUP('Capital Costs Details'!I64,'Tariff Calculator'!$C$5:$AR$11,7),0),0)</f>
        <v>0</v>
      </c>
      <c r="L64" s="244">
        <f>IF('Tariff Inputs'!$D$22="Yes",IF(K64&gt;0,G64/K64,0),0)</f>
        <v>0</v>
      </c>
    </row>
    <row r="65" spans="3:12" ht="15" x14ac:dyDescent="0.25">
      <c r="C65" s="34" t="s">
        <v>120</v>
      </c>
      <c r="D65" s="239"/>
      <c r="E65" s="240"/>
      <c r="F65" s="240"/>
      <c r="G65" s="241">
        <f t="shared" si="1"/>
        <v>0</v>
      </c>
      <c r="H65" s="54"/>
      <c r="I65" s="562"/>
      <c r="J65" s="243">
        <f>IF('Tariff Inputs'!$D$21="Yes",IF(I65&gt;0,G65/I65,0),0)</f>
        <v>0</v>
      </c>
      <c r="K65" s="198">
        <f>IF('Tariff Inputs'!$D$22="Yes",IF(I65&gt;0,HLOOKUP('Capital Costs Details'!I65,'Tariff Calculator'!$C$5:$AR$11,7),0),0)</f>
        <v>0</v>
      </c>
      <c r="L65" s="244"/>
    </row>
    <row r="66" spans="3:12" x14ac:dyDescent="0.2">
      <c r="C66" s="34" t="s">
        <v>119</v>
      </c>
      <c r="D66" s="239"/>
      <c r="E66" s="240"/>
      <c r="F66" s="240"/>
      <c r="G66" s="241">
        <f t="shared" si="1"/>
        <v>0</v>
      </c>
      <c r="H66" s="54"/>
      <c r="I66" s="242">
        <f t="shared" ref="I66:I67" si="6">I12</f>
        <v>25</v>
      </c>
      <c r="J66" s="243">
        <f>IF('Tariff Inputs'!$D$21="Yes",IF(I66&gt;0,G66/I66,0),0)</f>
        <v>0</v>
      </c>
      <c r="K66" s="198">
        <f>IF('Tariff Inputs'!$D$22="Yes",IF(I66&gt;0,HLOOKUP('Capital Costs Details'!I66,'Tariff Calculator'!$C$5:$AR$11,7),0),0)</f>
        <v>0</v>
      </c>
      <c r="L66" s="244">
        <f>IF('Tariff Inputs'!$D$22="Yes",IF(K66&gt;0,G66/K66,0),0)</f>
        <v>0</v>
      </c>
    </row>
    <row r="67" spans="3:12" x14ac:dyDescent="0.2">
      <c r="C67" s="34" t="s">
        <v>206</v>
      </c>
      <c r="D67" s="239"/>
      <c r="E67" s="240"/>
      <c r="F67" s="240"/>
      <c r="G67" s="241">
        <f t="shared" si="1"/>
        <v>0</v>
      </c>
      <c r="H67" s="54"/>
      <c r="I67" s="242">
        <f t="shared" si="6"/>
        <v>25</v>
      </c>
      <c r="J67" s="243">
        <f>IF('Tariff Inputs'!$D$21="Yes",IF(I67&gt;0,G67/I67,0),0)</f>
        <v>0</v>
      </c>
      <c r="K67" s="198">
        <f>IF('Tariff Inputs'!$D$22="Yes",IF(I67&gt;0,HLOOKUP('Capital Costs Details'!I67,'Tariff Calculator'!$C$5:$AR$11,7),0),0)</f>
        <v>0</v>
      </c>
      <c r="L67" s="244">
        <f>IF('Tariff Inputs'!$D$22="Yes",IF(K67&gt;0,G67/K67,0),0)</f>
        <v>0</v>
      </c>
    </row>
    <row r="68" spans="3:12" x14ac:dyDescent="0.2">
      <c r="C68" s="34" t="s">
        <v>351</v>
      </c>
      <c r="D68" s="239"/>
      <c r="E68" s="240"/>
      <c r="F68" s="240"/>
      <c r="G68" s="241">
        <f t="shared" si="1"/>
        <v>0</v>
      </c>
      <c r="H68" s="54"/>
      <c r="I68" s="242">
        <v>15</v>
      </c>
      <c r="J68" s="243">
        <f>IF('Tariff Inputs'!$D$21="Yes",IF(I68&gt;0,G68/I68,0),0)</f>
        <v>0</v>
      </c>
      <c r="K68" s="198">
        <f>IF('Tariff Inputs'!$D$22="Yes",IF(I68&gt;0,HLOOKUP('Capital Costs Details'!I68,'Tariff Calculator'!$C$5:$AR$11,7),0),0)</f>
        <v>0</v>
      </c>
      <c r="L68" s="244">
        <f>IF('Tariff Inputs'!$D$22="Yes",IF(K68&gt;0,G68/K68,0),0)</f>
        <v>0</v>
      </c>
    </row>
    <row r="69" spans="3:12" x14ac:dyDescent="0.2">
      <c r="C69" s="34" t="s">
        <v>10</v>
      </c>
      <c r="D69" s="239"/>
      <c r="E69" s="240"/>
      <c r="F69" s="240"/>
      <c r="G69" s="241">
        <f t="shared" si="1"/>
        <v>0</v>
      </c>
      <c r="H69" s="54"/>
      <c r="I69" s="242">
        <f>'Tariff Inputs'!D17</f>
        <v>25</v>
      </c>
      <c r="J69" s="243">
        <f>IF('Tariff Inputs'!$D$21="Yes",IF(I69&gt;0,G69/I69,0),0)</f>
        <v>0</v>
      </c>
      <c r="K69" s="198">
        <f>IF('Tariff Inputs'!$D$22="Yes",IF(I69&gt;0,HLOOKUP('Capital Costs Details'!I69,'Tariff Calculator'!$C$5:$AR$11,7),0),0)</f>
        <v>0</v>
      </c>
      <c r="L69" s="244">
        <f>IF('Tariff Inputs'!$D$22="Yes",IF(K69&gt;0,G69/K69,0),0)</f>
        <v>0</v>
      </c>
    </row>
    <row r="70" spans="3:12" x14ac:dyDescent="0.2">
      <c r="C70" s="34" t="s">
        <v>162</v>
      </c>
      <c r="D70" s="239"/>
      <c r="E70" s="240"/>
      <c r="F70" s="240"/>
      <c r="G70" s="241">
        <f t="shared" si="1"/>
        <v>0</v>
      </c>
      <c r="H70" s="54"/>
      <c r="I70" s="242">
        <v>15</v>
      </c>
      <c r="J70" s="243">
        <f>IF('Tariff Inputs'!$D$21="Yes",IF(I70&gt;0,G70/I70,0),0)</f>
        <v>0</v>
      </c>
      <c r="K70" s="198">
        <f>IF('Tariff Inputs'!$D$22="Yes",IF(I70&gt;0,HLOOKUP('Capital Costs Details'!I70,'Tariff Calculator'!$C$5:$AR$11,7),0),0)</f>
        <v>0</v>
      </c>
      <c r="L70" s="244">
        <f>IF('Tariff Inputs'!$D$22="Yes",IF(K70&gt;0,G70/K70,0),0)</f>
        <v>0</v>
      </c>
    </row>
    <row r="71" spans="3:12" x14ac:dyDescent="0.2">
      <c r="C71" s="34" t="s">
        <v>141</v>
      </c>
      <c r="D71" s="239"/>
      <c r="E71" s="240"/>
      <c r="F71" s="240"/>
      <c r="G71" s="241">
        <f t="shared" ref="G71" si="7">SUM(D71:F71)</f>
        <v>0</v>
      </c>
      <c r="H71" s="54"/>
      <c r="I71" s="242">
        <v>10</v>
      </c>
      <c r="J71" s="243">
        <f>IF('Tariff Inputs'!$D$21="Yes",IF(I71&gt;0,G71/I71,0),0)</f>
        <v>0</v>
      </c>
      <c r="K71" s="198">
        <f>IF('Tariff Inputs'!$D$22="Yes",IF(I71&gt;0,HLOOKUP('Capital Costs Details'!I71,'Tariff Calculator'!$C$5:$AR$11,7),0),0)</f>
        <v>0</v>
      </c>
      <c r="L71" s="244">
        <f>IF('Tariff Inputs'!$D$22="Yes",IF(K71&gt;0,G71/K71,0),0)</f>
        <v>0</v>
      </c>
    </row>
    <row r="72" spans="3:12" x14ac:dyDescent="0.2">
      <c r="C72" s="34" t="s">
        <v>8</v>
      </c>
      <c r="D72" s="239"/>
      <c r="E72" s="240"/>
      <c r="F72" s="240"/>
      <c r="G72" s="241">
        <f t="shared" si="1"/>
        <v>0</v>
      </c>
      <c r="H72" s="54"/>
      <c r="I72" s="242">
        <f>'Tariff Inputs'!D17</f>
        <v>25</v>
      </c>
      <c r="J72" s="243">
        <f>IF('Tariff Inputs'!$D$21="Yes",IF(I72&gt;0,G72/I72,0),0)</f>
        <v>0</v>
      </c>
      <c r="K72" s="198">
        <f>IF('Tariff Inputs'!$D$22="Yes",IF(I72&gt;0,HLOOKUP('Capital Costs Details'!I72,'Tariff Calculator'!$C$5:$AR$11,7),0),0)</f>
        <v>0</v>
      </c>
      <c r="L72" s="244">
        <f>IF('Tariff Inputs'!$D$22="Yes",IF(K72&gt;0,G72/K72,0),0)</f>
        <v>0</v>
      </c>
    </row>
    <row r="73" spans="3:12" x14ac:dyDescent="0.2">
      <c r="C73" s="34" t="s">
        <v>150</v>
      </c>
      <c r="D73" s="239"/>
      <c r="E73" s="240"/>
      <c r="F73" s="240"/>
      <c r="G73" s="241">
        <f t="shared" si="1"/>
        <v>0</v>
      </c>
      <c r="H73" s="54"/>
      <c r="I73" s="242">
        <f>'Tariff Inputs'!D17</f>
        <v>25</v>
      </c>
      <c r="J73" s="243">
        <f>IF('Tariff Inputs'!$D$21="Yes",IF(I73&gt;0,G73/I73,0),0)</f>
        <v>0</v>
      </c>
      <c r="K73" s="198">
        <f>IF('Tariff Inputs'!$D$22="Yes",IF(I73&gt;0,HLOOKUP('Capital Costs Details'!I73,'Tariff Calculator'!$C$5:$AR$11,7),0),0)</f>
        <v>0</v>
      </c>
      <c r="L73" s="244">
        <f>IF('Tariff Inputs'!$D$22="Yes",IF(K73&gt;0,G73/K73,0),0)</f>
        <v>0</v>
      </c>
    </row>
    <row r="74" spans="3:12" x14ac:dyDescent="0.2">
      <c r="C74" s="34" t="s">
        <v>121</v>
      </c>
      <c r="D74" s="239"/>
      <c r="E74" s="240"/>
      <c r="F74" s="240"/>
      <c r="G74" s="241">
        <f t="shared" ref="G74" si="8">SUM(D74:F74)</f>
        <v>0</v>
      </c>
      <c r="H74" s="54"/>
      <c r="I74" s="242">
        <f>'Tariff Inputs'!D17</f>
        <v>25</v>
      </c>
      <c r="J74" s="243">
        <f>IF('Tariff Inputs'!$D$21="Yes",IF(I74&gt;0,G74/I74,0),0)</f>
        <v>0</v>
      </c>
      <c r="K74" s="198">
        <f>IF('Tariff Inputs'!$D$22="Yes",IF(I74&gt;0,HLOOKUP('Capital Costs Details'!I74,'Tariff Calculator'!$C$5:$AR$11,7),0),0)</f>
        <v>0</v>
      </c>
      <c r="L74" s="244">
        <f>IF('Tariff Inputs'!$D$22="Yes",IF(K74&gt;0,G74/K74,0),0)</f>
        <v>0</v>
      </c>
    </row>
    <row r="75" spans="3:12" x14ac:dyDescent="0.2">
      <c r="C75" s="34" t="s">
        <v>143</v>
      </c>
      <c r="D75" s="239"/>
      <c r="E75" s="240"/>
      <c r="F75" s="240"/>
      <c r="G75" s="241">
        <f t="shared" si="1"/>
        <v>0</v>
      </c>
      <c r="H75" s="54"/>
      <c r="I75" s="242">
        <f>'Tariff Inputs'!D17</f>
        <v>25</v>
      </c>
      <c r="J75" s="243">
        <f>IF('Tariff Inputs'!$D$21="Yes",IF(I75&gt;0,G75/I75,0),0)</f>
        <v>0</v>
      </c>
      <c r="K75" s="198">
        <f>IF('Tariff Inputs'!$D$22="Yes",IF(I75&gt;0,HLOOKUP('Capital Costs Details'!I75,'Tariff Calculator'!$C$5:$AR$11,7),0),0)</f>
        <v>0</v>
      </c>
      <c r="L75" s="244">
        <f>IF('Tariff Inputs'!$D$22="Yes",IF(K75&gt;0,G75/K75,0),0)</f>
        <v>0</v>
      </c>
    </row>
    <row r="76" spans="3:12" x14ac:dyDescent="0.2">
      <c r="C76" s="34" t="s">
        <v>144</v>
      </c>
      <c r="D76" s="239"/>
      <c r="E76" s="240"/>
      <c r="F76" s="240"/>
      <c r="G76" s="241">
        <f t="shared" si="1"/>
        <v>0</v>
      </c>
      <c r="H76" s="54"/>
      <c r="I76" s="242">
        <f>'Tariff Inputs'!D17</f>
        <v>25</v>
      </c>
      <c r="J76" s="243">
        <f>IF('Tariff Inputs'!$D$21="Yes",IF(I76&gt;0,G76/I76,0),0)</f>
        <v>0</v>
      </c>
      <c r="K76" s="198">
        <f>IF('Tariff Inputs'!$D$22="Yes",IF(I76&gt;0,HLOOKUP('Capital Costs Details'!I76,'Tariff Calculator'!$C$5:$AR$11,7),0),0)</f>
        <v>0</v>
      </c>
      <c r="L76" s="244">
        <f>IF('Tariff Inputs'!$D$22="Yes",IF(K76&gt;0,G76/K76,0),0)</f>
        <v>0</v>
      </c>
    </row>
    <row r="77" spans="3:12" x14ac:dyDescent="0.2">
      <c r="C77" s="34" t="s">
        <v>7</v>
      </c>
      <c r="D77" s="239"/>
      <c r="E77" s="240"/>
      <c r="F77" s="240"/>
      <c r="G77" s="241">
        <f t="shared" si="1"/>
        <v>0</v>
      </c>
      <c r="H77" s="54"/>
      <c r="I77" s="242">
        <f>'Tariff Inputs'!D17</f>
        <v>25</v>
      </c>
      <c r="J77" s="243">
        <f>IF('Tariff Inputs'!$D$21="Yes",IF(I77&gt;0,G77/I77,0),0)</f>
        <v>0</v>
      </c>
      <c r="K77" s="198">
        <f>IF('Tariff Inputs'!$D$22="Yes",IF(I77&gt;0,HLOOKUP('Capital Costs Details'!I77,'Tariff Calculator'!$C$5:$AR$11,7),0),0)</f>
        <v>0</v>
      </c>
      <c r="L77" s="244">
        <f>IF('Tariff Inputs'!$D$22="Yes",IF(K77&gt;0,G77/K77,0),0)</f>
        <v>0</v>
      </c>
    </row>
    <row r="78" spans="3:12" x14ac:dyDescent="0.2">
      <c r="C78" s="34" t="s">
        <v>6</v>
      </c>
      <c r="D78" s="239"/>
      <c r="E78" s="240"/>
      <c r="F78" s="240"/>
      <c r="G78" s="241">
        <f t="shared" si="1"/>
        <v>0</v>
      </c>
      <c r="H78" s="54"/>
      <c r="I78" s="242">
        <f>'Tariff Inputs'!D17</f>
        <v>25</v>
      </c>
      <c r="J78" s="243">
        <f>IF('Tariff Inputs'!$D$21="Yes",IF(I78&gt;0,G78/I78,0),0)</f>
        <v>0</v>
      </c>
      <c r="K78" s="198">
        <f>IF('Tariff Inputs'!$D$22="Yes",IF(I78&gt;0,HLOOKUP('Capital Costs Details'!I78,'Tariff Calculator'!$C$5:$AR$11,7),0),0)</f>
        <v>0</v>
      </c>
      <c r="L78" s="244">
        <f>IF('Tariff Inputs'!$D$22="Yes",IF(K78&gt;0,G78/K78,0),0)</f>
        <v>0</v>
      </c>
    </row>
    <row r="79" spans="3:12" x14ac:dyDescent="0.2">
      <c r="C79" s="34" t="s">
        <v>123</v>
      </c>
      <c r="D79" s="239"/>
      <c r="E79" s="240"/>
      <c r="F79" s="240"/>
      <c r="G79" s="241">
        <f t="shared" si="1"/>
        <v>0</v>
      </c>
      <c r="H79" s="54"/>
      <c r="I79" s="242">
        <f>'Tariff Inputs'!D17</f>
        <v>25</v>
      </c>
      <c r="J79" s="243">
        <f>IF('Tariff Inputs'!$D$21="Yes",IF(I79&gt;0,G79/I79,0),0)</f>
        <v>0</v>
      </c>
      <c r="K79" s="198">
        <f>IF('Tariff Inputs'!$D$22="Yes",IF(I79&gt;0,HLOOKUP('Capital Costs Details'!I79,'Tariff Calculator'!$C$5:$AR$11,7),0),0)</f>
        <v>0</v>
      </c>
      <c r="L79" s="244">
        <f>IF('Tariff Inputs'!$D$22="Yes",IF(K79&gt;0,G79/K79,0),0)</f>
        <v>0</v>
      </c>
    </row>
    <row r="80" spans="3:12" x14ac:dyDescent="0.2">
      <c r="C80" s="96" t="s">
        <v>459</v>
      </c>
      <c r="D80" s="180"/>
      <c r="E80" s="240"/>
      <c r="F80" s="240"/>
      <c r="G80" s="241">
        <f t="shared" si="1"/>
        <v>0</v>
      </c>
      <c r="H80" s="262"/>
      <c r="I80" s="263">
        <f>'Tariff Inputs'!D17</f>
        <v>25</v>
      </c>
      <c r="J80" s="243">
        <f>IF('Tariff Inputs'!$D$21="Yes",IF(I80&gt;0,G80/I80,0),0)</f>
        <v>0</v>
      </c>
      <c r="K80" s="198">
        <f>IF('Tariff Inputs'!$D$22="Yes",IF(I80&gt;0,HLOOKUP('Capital Costs Details'!I80,'Tariff Calculator'!$C$5:$AR$11,7),0),0)</f>
        <v>0</v>
      </c>
      <c r="L80" s="244">
        <f>IF('Tariff Inputs'!$D$22="Yes",IF(K80&gt;0,G80/K80,0),0)</f>
        <v>0</v>
      </c>
    </row>
    <row r="81" spans="3:12" x14ac:dyDescent="0.2">
      <c r="C81" s="698" t="s">
        <v>366</v>
      </c>
      <c r="D81" s="701"/>
      <c r="E81" s="701"/>
      <c r="F81" s="701"/>
      <c r="G81" s="701"/>
      <c r="H81" s="701"/>
      <c r="I81" s="701"/>
      <c r="J81" s="701"/>
      <c r="K81" s="701"/>
      <c r="L81" s="702"/>
    </row>
    <row r="82" spans="3:12" x14ac:dyDescent="0.2">
      <c r="C82" s="34" t="s">
        <v>174</v>
      </c>
      <c r="D82" s="239"/>
      <c r="E82" s="240"/>
      <c r="F82" s="240"/>
      <c r="G82" s="241">
        <f>SUM(D82:F82)</f>
        <v>0</v>
      </c>
      <c r="H82" s="261"/>
      <c r="I82" s="242">
        <f>I9</f>
        <v>10</v>
      </c>
      <c r="J82" s="243">
        <f>IF('Tariff Inputs'!$D$21="Yes",IF(I82&gt;0,G82/I82,0),0)</f>
        <v>0</v>
      </c>
      <c r="K82" s="198">
        <f>IF('Tariff Inputs'!$D$22="Yes",IF(I82&gt;0,HLOOKUP('Capital Costs Details'!I82,'Tariff Calculator'!$C$5:$AR$11,7),0),0)</f>
        <v>0</v>
      </c>
      <c r="L82" s="244">
        <f>IF('Tariff Inputs'!$D$22="Yes",IF(K82&gt;0,G82/K82,0),0)</f>
        <v>0</v>
      </c>
    </row>
    <row r="83" spans="3:12" x14ac:dyDescent="0.2">
      <c r="C83" s="34" t="s">
        <v>156</v>
      </c>
      <c r="D83" s="239"/>
      <c r="E83" s="240"/>
      <c r="F83" s="240"/>
      <c r="G83" s="241">
        <f t="shared" ref="G83:G86" si="9">SUM(D83:F83)</f>
        <v>0</v>
      </c>
      <c r="H83" s="54"/>
      <c r="I83" s="242">
        <f>I10</f>
        <v>25</v>
      </c>
      <c r="J83" s="243">
        <f>IF('Tariff Inputs'!$D$21="Yes",IF(I83&gt;0,G83/I83,0),0)</f>
        <v>0</v>
      </c>
      <c r="K83" s="198">
        <f>IF('Tariff Inputs'!$D$22="Yes",IF(I83&gt;0,HLOOKUP('Capital Costs Details'!I83,'Tariff Calculator'!$C$5:$AR$11,7),0),0)</f>
        <v>0</v>
      </c>
      <c r="L83" s="244">
        <f>IF('Tariff Inputs'!$D$22="Yes",IF(K83&gt;0,G83/K83,0),0)</f>
        <v>0</v>
      </c>
    </row>
    <row r="84" spans="3:12" ht="15" x14ac:dyDescent="0.25">
      <c r="C84" s="34" t="s">
        <v>120</v>
      </c>
      <c r="D84" s="239"/>
      <c r="E84" s="240"/>
      <c r="F84" s="240"/>
      <c r="G84" s="241">
        <f t="shared" si="9"/>
        <v>0</v>
      </c>
      <c r="H84" s="54"/>
      <c r="I84" s="562"/>
      <c r="J84" s="243">
        <f>IF('Tariff Inputs'!$D$21="Yes",IF(I84&gt;0,G84/I84,0),0)</f>
        <v>0</v>
      </c>
      <c r="K84" s="198">
        <f>IF('Tariff Inputs'!$D$22="Yes",IF(I84&gt;0,HLOOKUP('Capital Costs Details'!I84,'Tariff Calculator'!$C$5:$AR$11,7),0),0)</f>
        <v>0</v>
      </c>
      <c r="L84" s="244"/>
    </row>
    <row r="85" spans="3:12" x14ac:dyDescent="0.2">
      <c r="C85" s="34" t="s">
        <v>119</v>
      </c>
      <c r="D85" s="239"/>
      <c r="E85" s="240"/>
      <c r="F85" s="240"/>
      <c r="G85" s="241">
        <f t="shared" si="9"/>
        <v>0</v>
      </c>
      <c r="H85" s="54"/>
      <c r="I85" s="242">
        <f t="shared" ref="I85:I86" si="10">I12</f>
        <v>25</v>
      </c>
      <c r="J85" s="243">
        <f>IF('Tariff Inputs'!$D$21="Yes",IF(I85&gt;0,G85/I85,0),0)</f>
        <v>0</v>
      </c>
      <c r="K85" s="198">
        <f>IF('Tariff Inputs'!$D$22="Yes",IF(I85&gt;0,HLOOKUP('Capital Costs Details'!I85,'Tariff Calculator'!$C$5:$AR$11,7),0),0)</f>
        <v>0</v>
      </c>
      <c r="L85" s="244">
        <f>IF('Tariff Inputs'!$D$22="Yes",IF(K85&gt;0,G85/K85,0),0)</f>
        <v>0</v>
      </c>
    </row>
    <row r="86" spans="3:12" x14ac:dyDescent="0.2">
      <c r="C86" s="34" t="s">
        <v>206</v>
      </c>
      <c r="D86" s="239"/>
      <c r="E86" s="240"/>
      <c r="F86" s="240"/>
      <c r="G86" s="241">
        <f t="shared" si="9"/>
        <v>0</v>
      </c>
      <c r="H86" s="54"/>
      <c r="I86" s="242">
        <f t="shared" si="10"/>
        <v>25</v>
      </c>
      <c r="J86" s="243">
        <f>IF('Tariff Inputs'!$D$21="Yes",IF(I86&gt;0,G86/I86,0),0)</f>
        <v>0</v>
      </c>
      <c r="K86" s="198">
        <f>IF('Tariff Inputs'!$D$22="Yes",IF(I86&gt;0,HLOOKUP('Capital Costs Details'!I86,'Tariff Calculator'!$C$5:$AR$11,7),0),0)</f>
        <v>0</v>
      </c>
      <c r="L86" s="244">
        <f>IF('Tariff Inputs'!$D$22="Yes",IF(K86&gt;0,G86/K86,0),0)</f>
        <v>0</v>
      </c>
    </row>
    <row r="87" spans="3:12" x14ac:dyDescent="0.2">
      <c r="C87" s="96" t="s">
        <v>172</v>
      </c>
      <c r="D87" s="239"/>
      <c r="E87" s="240"/>
      <c r="F87" s="240"/>
      <c r="G87" s="241">
        <f t="shared" si="1"/>
        <v>0</v>
      </c>
      <c r="H87" s="54"/>
      <c r="I87" s="242">
        <f>'Tariff Inputs'!D17</f>
        <v>25</v>
      </c>
      <c r="J87" s="243">
        <f>IF('Tariff Inputs'!$D$21="Yes",IF(I87&gt;0,G87/I87,0),0)</f>
        <v>0</v>
      </c>
      <c r="K87" s="198">
        <f>IF('Tariff Inputs'!$D$22="Yes",IF(I87&gt;0,HLOOKUP('Capital Costs Details'!I87,'Tariff Calculator'!$C$5:$AR$11,7),0),0)</f>
        <v>0</v>
      </c>
      <c r="L87" s="244">
        <f>IF('Tariff Inputs'!$D$22="Yes",IF(K87&gt;0,G87/K87,0),0)</f>
        <v>0</v>
      </c>
    </row>
    <row r="88" spans="3:12" x14ac:dyDescent="0.2">
      <c r="C88" s="34" t="s">
        <v>199</v>
      </c>
      <c r="D88" s="239"/>
      <c r="E88" s="240"/>
      <c r="F88" s="240"/>
      <c r="G88" s="241">
        <f t="shared" ref="G88" si="11">SUM(D88:F88)</f>
        <v>0</v>
      </c>
      <c r="H88" s="54"/>
      <c r="I88" s="242">
        <f>'Tariff Inputs'!D17</f>
        <v>25</v>
      </c>
      <c r="J88" s="243">
        <f>IF('Tariff Inputs'!$D$21="Yes",IF(I88&gt;0,G88/I88,0),0)</f>
        <v>0</v>
      </c>
      <c r="K88" s="198">
        <f>IF('Tariff Inputs'!$D$22="Yes",IF(I88&gt;0,HLOOKUP('Capital Costs Details'!I88,'Tariff Calculator'!$C$5:$AR$11,7),0),0)</f>
        <v>0</v>
      </c>
      <c r="L88" s="244">
        <f>IF('Tariff Inputs'!$D$22="Yes",IF(K88&gt;0,G88/K88,0),0)</f>
        <v>0</v>
      </c>
    </row>
    <row r="89" spans="3:12" x14ac:dyDescent="0.2">
      <c r="C89" s="34" t="s">
        <v>173</v>
      </c>
      <c r="D89" s="239"/>
      <c r="E89" s="240"/>
      <c r="F89" s="240"/>
      <c r="G89" s="241">
        <f t="shared" si="1"/>
        <v>0</v>
      </c>
      <c r="H89" s="54"/>
      <c r="I89" s="242">
        <f>'Tariff Inputs'!D17</f>
        <v>25</v>
      </c>
      <c r="J89" s="243">
        <f>IF('Tariff Inputs'!$D$21="Yes",IF(I89&gt;0,G89/I89,0),0)</f>
        <v>0</v>
      </c>
      <c r="K89" s="198">
        <f>IF('Tariff Inputs'!$D$22="Yes",IF(I89&gt;0,HLOOKUP('Capital Costs Details'!I89,'Tariff Calculator'!$C$5:$AR$11,7),0),0)</f>
        <v>0</v>
      </c>
      <c r="L89" s="244">
        <f>IF('Tariff Inputs'!$D$22="Yes",IF(K89&gt;0,G89/K89,0),0)</f>
        <v>0</v>
      </c>
    </row>
    <row r="90" spans="3:12" x14ac:dyDescent="0.2">
      <c r="C90" s="34" t="s">
        <v>162</v>
      </c>
      <c r="D90" s="239"/>
      <c r="E90" s="240"/>
      <c r="F90" s="240"/>
      <c r="G90" s="241">
        <f t="shared" ref="G90" si="12">SUM(D90:F90)</f>
        <v>0</v>
      </c>
      <c r="H90" s="54"/>
      <c r="I90" s="242">
        <f>'Tariff Inputs'!D17</f>
        <v>25</v>
      </c>
      <c r="J90" s="243">
        <f>IF('Tariff Inputs'!$D$21="Yes",IF(I90&gt;0,G90/I90,0),0)</f>
        <v>0</v>
      </c>
      <c r="K90" s="198">
        <f>IF('Tariff Inputs'!$D$22="Yes",IF(I90&gt;0,HLOOKUP('Capital Costs Details'!I90,'Tariff Calculator'!$C$5:$AR$11,7),0),0)</f>
        <v>0</v>
      </c>
      <c r="L90" s="244">
        <f>IF('Tariff Inputs'!$D$22="Yes",IF(K90&gt;0,G90/K90,0),0)</f>
        <v>0</v>
      </c>
    </row>
    <row r="91" spans="3:12" x14ac:dyDescent="0.2">
      <c r="C91" s="34" t="s">
        <v>141</v>
      </c>
      <c r="D91" s="239"/>
      <c r="E91" s="240"/>
      <c r="F91" s="240"/>
      <c r="G91" s="241">
        <f t="shared" ref="G91" si="13">SUM(D91:F91)</f>
        <v>0</v>
      </c>
      <c r="H91" s="54"/>
      <c r="I91" s="242">
        <v>10</v>
      </c>
      <c r="J91" s="243">
        <f>IF('Tariff Inputs'!$D$21="Yes",IF(I91&gt;0,G91/I91,0),0)</f>
        <v>0</v>
      </c>
      <c r="K91" s="198">
        <f>IF('Tariff Inputs'!$D$22="Yes",IF(I91&gt;0,HLOOKUP('Capital Costs Details'!I91,'Tariff Calculator'!$C$5:$AR$11,7),0),0)</f>
        <v>0</v>
      </c>
      <c r="L91" s="244">
        <f>IF('Tariff Inputs'!$D$22="Yes",IF(K91&gt;0,G91/K91,0),0)</f>
        <v>0</v>
      </c>
    </row>
    <row r="92" spans="3:12" x14ac:dyDescent="0.2">
      <c r="C92" s="34" t="s">
        <v>8</v>
      </c>
      <c r="D92" s="239"/>
      <c r="E92" s="240"/>
      <c r="F92" s="240"/>
      <c r="G92" s="241">
        <f t="shared" ref="G92:G100" si="14">SUM(D92:F92)</f>
        <v>0</v>
      </c>
      <c r="H92" s="54"/>
      <c r="I92" s="242">
        <f>'Tariff Inputs'!D17</f>
        <v>25</v>
      </c>
      <c r="J92" s="243">
        <f>IF('Tariff Inputs'!$D$21="Yes",IF(I92&gt;0,G92/I92,0),0)</f>
        <v>0</v>
      </c>
      <c r="K92" s="198">
        <f>IF('Tariff Inputs'!$D$22="Yes",IF(I92&gt;0,HLOOKUP('Capital Costs Details'!I92,'Tariff Calculator'!$C$5:$AR$11,7),0),0)</f>
        <v>0</v>
      </c>
      <c r="L92" s="244">
        <f>IF('Tariff Inputs'!$D$22="Yes",IF(K92&gt;0,G92/K92,0),0)</f>
        <v>0</v>
      </c>
    </row>
    <row r="93" spans="3:12" x14ac:dyDescent="0.2">
      <c r="C93" s="34" t="s">
        <v>150</v>
      </c>
      <c r="D93" s="239"/>
      <c r="E93" s="240"/>
      <c r="F93" s="240"/>
      <c r="G93" s="241">
        <f t="shared" si="14"/>
        <v>0</v>
      </c>
      <c r="H93" s="54"/>
      <c r="I93" s="242">
        <f>'Tariff Inputs'!D17</f>
        <v>25</v>
      </c>
      <c r="J93" s="243">
        <f>IF('Tariff Inputs'!$D$21="Yes",IF(I93&gt;0,G93/I93,0),0)</f>
        <v>0</v>
      </c>
      <c r="K93" s="198">
        <f>IF('Tariff Inputs'!$D$22="Yes",IF(I93&gt;0,HLOOKUP('Capital Costs Details'!I93,'Tariff Calculator'!$C$5:$AR$11,7),0),0)</f>
        <v>0</v>
      </c>
      <c r="L93" s="244">
        <f>IF('Tariff Inputs'!$D$22="Yes",IF(K93&gt;0,G93/K93,0),0)</f>
        <v>0</v>
      </c>
    </row>
    <row r="94" spans="3:12" x14ac:dyDescent="0.2">
      <c r="C94" s="34" t="s">
        <v>143</v>
      </c>
      <c r="D94" s="239"/>
      <c r="E94" s="240"/>
      <c r="F94" s="240"/>
      <c r="G94" s="241">
        <f t="shared" si="14"/>
        <v>0</v>
      </c>
      <c r="H94" s="54"/>
      <c r="I94" s="242">
        <v>5</v>
      </c>
      <c r="J94" s="243">
        <f>IF('Tariff Inputs'!$D$21="Yes",IF(I94&gt;0,G94/I94,0),0)</f>
        <v>0</v>
      </c>
      <c r="K94" s="198">
        <f>IF('Tariff Inputs'!$D$22="Yes",IF(I94&gt;0,HLOOKUP('Capital Costs Details'!I94,'Tariff Calculator'!$C$5:$AR$11,7),0),0)</f>
        <v>0</v>
      </c>
      <c r="L94" s="244">
        <f>IF('Tariff Inputs'!$D$22="Yes",IF(K94&gt;0,G94/K94,0),0)</f>
        <v>0</v>
      </c>
    </row>
    <row r="95" spans="3:12" x14ac:dyDescent="0.2">
      <c r="C95" s="34" t="s">
        <v>144</v>
      </c>
      <c r="D95" s="239"/>
      <c r="E95" s="240"/>
      <c r="F95" s="240"/>
      <c r="G95" s="241">
        <f t="shared" si="14"/>
        <v>0</v>
      </c>
      <c r="H95" s="54"/>
      <c r="I95" s="242">
        <v>5</v>
      </c>
      <c r="J95" s="243">
        <f>IF('Tariff Inputs'!$D$21="Yes",IF(I95&gt;0,G95/I95,0),0)</f>
        <v>0</v>
      </c>
      <c r="K95" s="198">
        <f>IF('Tariff Inputs'!$D$22="Yes",IF(I95&gt;0,HLOOKUP('Capital Costs Details'!I95,'Tariff Calculator'!$C$5:$AR$11,7),0),0)</f>
        <v>0</v>
      </c>
      <c r="L95" s="244">
        <f>IF('Tariff Inputs'!$D$22="Yes",IF(K95&gt;0,G95/K95,0),0)</f>
        <v>0</v>
      </c>
    </row>
    <row r="96" spans="3:12" x14ac:dyDescent="0.2">
      <c r="C96" s="34" t="s">
        <v>121</v>
      </c>
      <c r="D96" s="239"/>
      <c r="E96" s="240"/>
      <c r="F96" s="240"/>
      <c r="G96" s="241">
        <f t="shared" si="14"/>
        <v>0</v>
      </c>
      <c r="H96" s="54"/>
      <c r="I96" s="242">
        <f>'Tariff Inputs'!D17</f>
        <v>25</v>
      </c>
      <c r="J96" s="243">
        <f>IF('Tariff Inputs'!$D$21="Yes",IF(I96&gt;0,G96/I96,0),0)</f>
        <v>0</v>
      </c>
      <c r="K96" s="198">
        <f>IF('Tariff Inputs'!$D$22="Yes",IF(I96&gt;0,HLOOKUP('Capital Costs Details'!I96,'Tariff Calculator'!$C$5:$AR$11,7),0),0)</f>
        <v>0</v>
      </c>
      <c r="L96" s="244">
        <f>IF('Tariff Inputs'!$D$22="Yes",IF(K96&gt;0,G96/K96,0),0)</f>
        <v>0</v>
      </c>
    </row>
    <row r="97" spans="3:12" x14ac:dyDescent="0.2">
      <c r="C97" s="34" t="s">
        <v>7</v>
      </c>
      <c r="D97" s="239"/>
      <c r="E97" s="240"/>
      <c r="F97" s="240"/>
      <c r="G97" s="241">
        <f t="shared" si="14"/>
        <v>0</v>
      </c>
      <c r="H97" s="54"/>
      <c r="I97" s="242">
        <f>'Tariff Inputs'!D17</f>
        <v>25</v>
      </c>
      <c r="J97" s="243">
        <f>IF('Tariff Inputs'!$D$21="Yes",IF(I97&gt;0,G97/I97,0),0)</f>
        <v>0</v>
      </c>
      <c r="K97" s="198">
        <f>IF('Tariff Inputs'!$D$22="Yes",IF(I97&gt;0,HLOOKUP('Capital Costs Details'!I97,'Tariff Calculator'!$C$5:$AR$11,7),0),0)</f>
        <v>0</v>
      </c>
      <c r="L97" s="244">
        <f>IF('Tariff Inputs'!$D$22="Yes",IF(K97&gt;0,G97/K97,0),0)</f>
        <v>0</v>
      </c>
    </row>
    <row r="98" spans="3:12" x14ac:dyDescent="0.2">
      <c r="C98" s="34" t="s">
        <v>6</v>
      </c>
      <c r="D98" s="239"/>
      <c r="E98" s="240"/>
      <c r="F98" s="240"/>
      <c r="G98" s="241">
        <f t="shared" si="14"/>
        <v>0</v>
      </c>
      <c r="H98" s="54"/>
      <c r="I98" s="242">
        <f>'Tariff Inputs'!D17</f>
        <v>25</v>
      </c>
      <c r="J98" s="243">
        <f>IF('Tariff Inputs'!$D$21="Yes",IF(I98&gt;0,G98/I98,0),0)</f>
        <v>0</v>
      </c>
      <c r="K98" s="198">
        <f>IF('Tariff Inputs'!$D$22="Yes",IF(I98&gt;0,HLOOKUP('Capital Costs Details'!I98,'Tariff Calculator'!$C$5:$AR$11,7),0),0)</f>
        <v>0</v>
      </c>
      <c r="L98" s="244">
        <f>IF('Tariff Inputs'!$D$22="Yes",IF(K98&gt;0,G98/K98,0),0)</f>
        <v>0</v>
      </c>
    </row>
    <row r="99" spans="3:12" x14ac:dyDescent="0.2">
      <c r="C99" s="34" t="s">
        <v>123</v>
      </c>
      <c r="D99" s="239"/>
      <c r="E99" s="240"/>
      <c r="F99" s="240"/>
      <c r="G99" s="241">
        <f t="shared" si="14"/>
        <v>0</v>
      </c>
      <c r="H99" s="54"/>
      <c r="I99" s="242">
        <f>'Tariff Inputs'!D17</f>
        <v>25</v>
      </c>
      <c r="J99" s="243">
        <f>IF('Tariff Inputs'!$D$21="Yes",IF(I99&gt;0,G99/I99,0),0)</f>
        <v>0</v>
      </c>
      <c r="K99" s="198">
        <f>IF('Tariff Inputs'!$D$22="Yes",IF(I99&gt;0,HLOOKUP('Capital Costs Details'!I99,'Tariff Calculator'!$C$5:$AR$11,7),0),0)</f>
        <v>0</v>
      </c>
      <c r="L99" s="244">
        <f>IF('Tariff Inputs'!$D$22="Yes",IF(K99&gt;0,G99/K99,0),0)</f>
        <v>0</v>
      </c>
    </row>
    <row r="100" spans="3:12" x14ac:dyDescent="0.2">
      <c r="C100" s="96" t="s">
        <v>459</v>
      </c>
      <c r="D100" s="180"/>
      <c r="E100" s="240"/>
      <c r="F100" s="240"/>
      <c r="G100" s="241">
        <f t="shared" si="14"/>
        <v>0</v>
      </c>
      <c r="H100" s="262"/>
      <c r="I100" s="263">
        <f>'Tariff Inputs'!D17</f>
        <v>25</v>
      </c>
      <c r="J100" s="243">
        <f>IF('Tariff Inputs'!$D$21="Yes",IF(I100&gt;0,G100/I100,0),0)</f>
        <v>0</v>
      </c>
      <c r="K100" s="198">
        <f>IF('Tariff Inputs'!$D$22="Yes",IF(I100&gt;0,HLOOKUP('Capital Costs Details'!I100,'Tariff Calculator'!$C$5:$AR$11,7),0),0)</f>
        <v>0</v>
      </c>
      <c r="L100" s="244">
        <f>IF('Tariff Inputs'!$D$22="Yes",IF(K100&gt;0,G100/K100,0),0)</f>
        <v>0</v>
      </c>
    </row>
    <row r="101" spans="3:12" x14ac:dyDescent="0.2">
      <c r="C101" s="698" t="s">
        <v>367</v>
      </c>
      <c r="D101" s="701"/>
      <c r="E101" s="701"/>
      <c r="F101" s="701"/>
      <c r="G101" s="701"/>
      <c r="H101" s="701"/>
      <c r="I101" s="701"/>
      <c r="J101" s="701"/>
      <c r="K101" s="701"/>
      <c r="L101" s="702"/>
    </row>
    <row r="102" spans="3:12" x14ac:dyDescent="0.2">
      <c r="C102" s="34" t="s">
        <v>174</v>
      </c>
      <c r="D102" s="239"/>
      <c r="E102" s="240"/>
      <c r="F102" s="240"/>
      <c r="G102" s="241">
        <f>SUM(D102:F102)</f>
        <v>0</v>
      </c>
      <c r="H102" s="261"/>
      <c r="I102" s="242">
        <f>I9</f>
        <v>10</v>
      </c>
      <c r="J102" s="243">
        <f>IF('Tariff Inputs'!$D$21="Yes",IF(I102&gt;0,G102/I102,0),0)</f>
        <v>0</v>
      </c>
      <c r="K102" s="198">
        <f>IF('Tariff Inputs'!$D$22="Yes",IF(I102&gt;0,HLOOKUP('Capital Costs Details'!I102,'Tariff Calculator'!$C$5:$AR$11,7),0),0)</f>
        <v>0</v>
      </c>
      <c r="L102" s="244">
        <f>IF('Tariff Inputs'!$D$22="Yes",IF(K102&gt;0,G102/K102,0),0)</f>
        <v>0</v>
      </c>
    </row>
    <row r="103" spans="3:12" x14ac:dyDescent="0.2">
      <c r="C103" s="34" t="s">
        <v>156</v>
      </c>
      <c r="D103" s="239"/>
      <c r="E103" s="240"/>
      <c r="F103" s="240"/>
      <c r="G103" s="241">
        <f t="shared" ref="G103:G107" si="15">SUM(D103:F103)</f>
        <v>0</v>
      </c>
      <c r="H103" s="54"/>
      <c r="I103" s="242">
        <f>I10</f>
        <v>25</v>
      </c>
      <c r="J103" s="243">
        <f>IF('Tariff Inputs'!$D$21="Yes",IF(I103&gt;0,G103/I103,0),0)</f>
        <v>0</v>
      </c>
      <c r="K103" s="198">
        <f>IF('Tariff Inputs'!$D$22="Yes",IF(I103&gt;0,HLOOKUP('Capital Costs Details'!I103,'Tariff Calculator'!$C$5:$AR$11,7),0),0)</f>
        <v>0</v>
      </c>
      <c r="L103" s="244">
        <f>IF('Tariff Inputs'!$D$22="Yes",IF(K103&gt;0,G103/K103,0),0)</f>
        <v>0</v>
      </c>
    </row>
    <row r="104" spans="3:12" ht="15" x14ac:dyDescent="0.25">
      <c r="C104" s="34" t="s">
        <v>120</v>
      </c>
      <c r="D104" s="239"/>
      <c r="E104" s="240"/>
      <c r="F104" s="240"/>
      <c r="G104" s="241">
        <f t="shared" si="15"/>
        <v>0</v>
      </c>
      <c r="H104" s="54"/>
      <c r="I104" s="562"/>
      <c r="J104" s="243">
        <f>IF('Tariff Inputs'!$D$21="Yes",IF(I104&gt;0,G104/I104,0),0)</f>
        <v>0</v>
      </c>
      <c r="K104" s="198">
        <f>IF('Tariff Inputs'!$D$22="Yes",IF(I104&gt;0,HLOOKUP('Capital Costs Details'!I104,'Tariff Calculator'!$C$5:$AR$11,7),0),0)</f>
        <v>0</v>
      </c>
      <c r="L104" s="244"/>
    </row>
    <row r="105" spans="3:12" x14ac:dyDescent="0.2">
      <c r="C105" s="34" t="s">
        <v>119</v>
      </c>
      <c r="D105" s="239"/>
      <c r="E105" s="240"/>
      <c r="F105" s="240"/>
      <c r="G105" s="241">
        <f t="shared" si="15"/>
        <v>0</v>
      </c>
      <c r="H105" s="54"/>
      <c r="I105" s="242">
        <f t="shared" ref="I105:I106" si="16">I12</f>
        <v>25</v>
      </c>
      <c r="J105" s="243">
        <f>IF('Tariff Inputs'!$D$21="Yes",IF(I105&gt;0,G105/I105,0),0)</f>
        <v>0</v>
      </c>
      <c r="K105" s="198">
        <f>IF('Tariff Inputs'!$D$22="Yes",IF(I105&gt;0,HLOOKUP('Capital Costs Details'!I105,'Tariff Calculator'!$C$5:$AR$11,7),0),0)</f>
        <v>0</v>
      </c>
      <c r="L105" s="244">
        <f>IF('Tariff Inputs'!$D$22="Yes",IF(K105&gt;0,G105/K105,0),0)</f>
        <v>0</v>
      </c>
    </row>
    <row r="106" spans="3:12" x14ac:dyDescent="0.2">
      <c r="C106" s="34" t="s">
        <v>206</v>
      </c>
      <c r="D106" s="239"/>
      <c r="E106" s="240"/>
      <c r="F106" s="240"/>
      <c r="G106" s="241">
        <f t="shared" si="15"/>
        <v>0</v>
      </c>
      <c r="H106" s="54"/>
      <c r="I106" s="242">
        <f t="shared" si="16"/>
        <v>25</v>
      </c>
      <c r="J106" s="243">
        <f>IF('Tariff Inputs'!$D$21="Yes",IF(I106&gt;0,G106/I106,0),0)</f>
        <v>0</v>
      </c>
      <c r="K106" s="198">
        <f>IF('Tariff Inputs'!$D$22="Yes",IF(I106&gt;0,HLOOKUP('Capital Costs Details'!I106,'Tariff Calculator'!$C$5:$AR$11,7),0),0)</f>
        <v>0</v>
      </c>
      <c r="L106" s="244">
        <f>IF('Tariff Inputs'!$D$22="Yes",IF(K106&gt;0,G106/K106,0),0)</f>
        <v>0</v>
      </c>
    </row>
    <row r="107" spans="3:12" x14ac:dyDescent="0.2">
      <c r="C107" s="34" t="s">
        <v>444</v>
      </c>
      <c r="D107" s="239"/>
      <c r="E107" s="240"/>
      <c r="F107" s="240"/>
      <c r="G107" s="241">
        <f t="shared" si="15"/>
        <v>0</v>
      </c>
      <c r="H107" s="54"/>
      <c r="I107" s="242">
        <f>'Tariff Inputs'!D17</f>
        <v>25</v>
      </c>
      <c r="J107" s="243">
        <f>IF('Tariff Inputs'!$D$21="Yes",IF(I107&gt;0,G107/I107,0),0)</f>
        <v>0</v>
      </c>
      <c r="K107" s="198">
        <f>IF('Tariff Inputs'!$D$22="Yes",IF(I107&gt;0,HLOOKUP('Capital Costs Details'!I107,'Tariff Calculator'!$C$5:$AR$11,7),0),0)</f>
        <v>0</v>
      </c>
      <c r="L107" s="244">
        <f>IF('Tariff Inputs'!$D$22="Yes",IF(K107&gt;0,G107/K107,0),0)</f>
        <v>0</v>
      </c>
    </row>
    <row r="108" spans="3:12" x14ac:dyDescent="0.2">
      <c r="C108" s="34" t="s">
        <v>445</v>
      </c>
      <c r="D108" s="239"/>
      <c r="E108" s="240"/>
      <c r="F108" s="240"/>
      <c r="G108" s="241">
        <f t="shared" ref="G108" si="17">SUM(D108:F108)</f>
        <v>0</v>
      </c>
      <c r="H108" s="54"/>
      <c r="I108" s="242">
        <f>'Tariff Inputs'!D17</f>
        <v>25</v>
      </c>
      <c r="J108" s="243">
        <f>IF('Tariff Inputs'!$D$21="Yes",IF(I108&gt;0,G108/I108,0),0)</f>
        <v>0</v>
      </c>
      <c r="K108" s="198">
        <f>IF('Tariff Inputs'!$D$22="Yes",IF(I108&gt;0,HLOOKUP('Capital Costs Details'!I108,'Tariff Calculator'!$C$5:$AR$11,7),0),0)</f>
        <v>0</v>
      </c>
      <c r="L108" s="244">
        <f>IF('Tariff Inputs'!$D$22="Yes",IF(K108&gt;0,G108/K108,0),0)</f>
        <v>0</v>
      </c>
    </row>
    <row r="109" spans="3:12" x14ac:dyDescent="0.2">
      <c r="C109" s="34" t="s">
        <v>175</v>
      </c>
      <c r="D109" s="239"/>
      <c r="E109" s="240"/>
      <c r="F109" s="240"/>
      <c r="G109" s="241">
        <f t="shared" ref="G109:G146" si="18">SUM(D109:F109)</f>
        <v>0</v>
      </c>
      <c r="H109" s="54"/>
      <c r="I109" s="242">
        <f>'Tariff Inputs'!D17</f>
        <v>25</v>
      </c>
      <c r="J109" s="243">
        <f>IF('Tariff Inputs'!$D$21="Yes",IF(I109&gt;0,G109/I109,0),0)</f>
        <v>0</v>
      </c>
      <c r="K109" s="198">
        <f>IF('Tariff Inputs'!$D$22="Yes",IF(I109&gt;0,HLOOKUP('Capital Costs Details'!I109,'Tariff Calculator'!$C$5:$AR$11,7),0),0)</f>
        <v>0</v>
      </c>
      <c r="L109" s="244">
        <f>IF('Tariff Inputs'!$D$22="Yes",IF(K109&gt;0,G109/K109,0),0)</f>
        <v>0</v>
      </c>
    </row>
    <row r="110" spans="3:12" x14ac:dyDescent="0.2">
      <c r="C110" s="34" t="s">
        <v>162</v>
      </c>
      <c r="D110" s="239"/>
      <c r="E110" s="240"/>
      <c r="F110" s="240"/>
      <c r="G110" s="241">
        <f t="shared" ref="G110:G113" si="19">SUM(D110:F110)</f>
        <v>0</v>
      </c>
      <c r="H110" s="54"/>
      <c r="I110" s="242">
        <v>15</v>
      </c>
      <c r="J110" s="243">
        <f>IF('Tariff Inputs'!$D$21="Yes",IF(I110&gt;0,G110/I110,0),0)</f>
        <v>0</v>
      </c>
      <c r="K110" s="198">
        <f>IF('Tariff Inputs'!$D$22="Yes",IF(I110&gt;0,HLOOKUP('Capital Costs Details'!I110,'Tariff Calculator'!$C$5:$AR$11,7),0),0)</f>
        <v>0</v>
      </c>
      <c r="L110" s="244">
        <f>IF('Tariff Inputs'!$D$22="Yes",IF(K110&gt;0,G110/K110,0),0)</f>
        <v>0</v>
      </c>
    </row>
    <row r="111" spans="3:12" x14ac:dyDescent="0.2">
      <c r="C111" s="96" t="s">
        <v>548</v>
      </c>
      <c r="D111" s="239"/>
      <c r="E111" s="240"/>
      <c r="F111" s="240"/>
      <c r="G111" s="241">
        <f t="shared" si="19"/>
        <v>0</v>
      </c>
      <c r="H111" s="54"/>
      <c r="I111" s="242">
        <f>'Tariff Inputs'!D17</f>
        <v>25</v>
      </c>
      <c r="J111" s="243">
        <f>IF('Tariff Inputs'!$D$21="Yes",IF(I111&gt;0,G111/I111,0),0)</f>
        <v>0</v>
      </c>
      <c r="K111" s="198">
        <f>IF('Tariff Inputs'!$D$22="Yes",IF(I111&gt;0,HLOOKUP('Capital Costs Details'!I111,'Tariff Calculator'!$C$5:$AR$11,7),0),0)</f>
        <v>0</v>
      </c>
      <c r="L111" s="244">
        <f>IF('Tariff Inputs'!$D$22="Yes",IF(K111&gt;0,G111/K111,0),0)</f>
        <v>0</v>
      </c>
    </row>
    <row r="112" spans="3:12" x14ac:dyDescent="0.2">
      <c r="C112" s="96" t="s">
        <v>549</v>
      </c>
      <c r="D112" s="239"/>
      <c r="E112" s="240"/>
      <c r="F112" s="240"/>
      <c r="G112" s="241">
        <f t="shared" ref="G112" si="20">SUM(D112:F112)</f>
        <v>0</v>
      </c>
      <c r="H112" s="54"/>
      <c r="I112" s="242">
        <f>'Tariff Inputs'!D17</f>
        <v>25</v>
      </c>
      <c r="J112" s="243">
        <f>IF('Tariff Inputs'!$D$21="Yes",IF(I112&gt;0,G112/I112,0),0)</f>
        <v>0</v>
      </c>
      <c r="K112" s="198">
        <f>IF('Tariff Inputs'!$D$22="Yes",IF(I112&gt;0,HLOOKUP('Capital Costs Details'!I112,'Tariff Calculator'!$C$5:$AR$11,7),0),0)</f>
        <v>0</v>
      </c>
      <c r="L112" s="244">
        <f>IF('Tariff Inputs'!$D$22="Yes",IF(K112&gt;0,G112/K112,0),0)</f>
        <v>0</v>
      </c>
    </row>
    <row r="113" spans="3:12" x14ac:dyDescent="0.2">
      <c r="C113" s="34" t="s">
        <v>171</v>
      </c>
      <c r="D113" s="239"/>
      <c r="E113" s="240"/>
      <c r="F113" s="240"/>
      <c r="G113" s="241">
        <f t="shared" si="19"/>
        <v>0</v>
      </c>
      <c r="H113" s="54"/>
      <c r="I113" s="242">
        <f>'Tariff Inputs'!D17</f>
        <v>25</v>
      </c>
      <c r="J113" s="243">
        <f>IF('Tariff Inputs'!$D$21="Yes",IF(I113&gt;0,G113/I113,0),0)</f>
        <v>0</v>
      </c>
      <c r="K113" s="198">
        <f>IF('Tariff Inputs'!$D$22="Yes",IF(I113&gt;0,HLOOKUP('Capital Costs Details'!I113,'Tariff Calculator'!$C$5:$AR$11,7),0),0)</f>
        <v>0</v>
      </c>
      <c r="L113" s="244">
        <f>IF('Tariff Inputs'!$D$22="Yes",IF(K113&gt;0,G113/K113,0),0)</f>
        <v>0</v>
      </c>
    </row>
    <row r="114" spans="3:12" x14ac:dyDescent="0.2">
      <c r="C114" s="34" t="s">
        <v>141</v>
      </c>
      <c r="D114" s="239"/>
      <c r="E114" s="240"/>
      <c r="F114" s="240"/>
      <c r="G114" s="241">
        <f t="shared" si="18"/>
        <v>0</v>
      </c>
      <c r="H114" s="54"/>
      <c r="I114" s="242">
        <f>'Tariff Inputs'!D17</f>
        <v>25</v>
      </c>
      <c r="J114" s="243">
        <f>IF('Tariff Inputs'!$D$21="Yes",IF(I114&gt;0,G114/I114,0),0)</f>
        <v>0</v>
      </c>
      <c r="K114" s="198">
        <f>IF('Tariff Inputs'!$D$22="Yes",IF(I114&gt;0,HLOOKUP('Capital Costs Details'!I114,'Tariff Calculator'!$C$5:$AR$11,7),0),0)</f>
        <v>0</v>
      </c>
      <c r="L114" s="244">
        <f>IF('Tariff Inputs'!$D$22="Yes",IF(K114&gt;0,G114/K114,0),0)</f>
        <v>0</v>
      </c>
    </row>
    <row r="115" spans="3:12" x14ac:dyDescent="0.2">
      <c r="C115" s="34" t="s">
        <v>8</v>
      </c>
      <c r="D115" s="239"/>
      <c r="E115" s="240"/>
      <c r="F115" s="240"/>
      <c r="G115" s="241">
        <f t="shared" si="18"/>
        <v>0</v>
      </c>
      <c r="H115" s="54"/>
      <c r="I115" s="242">
        <f>'Tariff Inputs'!D17</f>
        <v>25</v>
      </c>
      <c r="J115" s="243">
        <f>IF('Tariff Inputs'!$D$21="Yes",IF(I115&gt;0,G115/I115,0),0)</f>
        <v>0</v>
      </c>
      <c r="K115" s="198">
        <f>IF('Tariff Inputs'!$D$22="Yes",IF(I115&gt;0,HLOOKUP('Capital Costs Details'!I115,'Tariff Calculator'!$C$5:$AR$11,7),0),0)</f>
        <v>0</v>
      </c>
      <c r="L115" s="244">
        <f>IF('Tariff Inputs'!$D$22="Yes",IF(K115&gt;0,G115/K115,0),0)</f>
        <v>0</v>
      </c>
    </row>
    <row r="116" spans="3:12" x14ac:dyDescent="0.2">
      <c r="C116" s="34" t="s">
        <v>150</v>
      </c>
      <c r="D116" s="239"/>
      <c r="E116" s="240"/>
      <c r="F116" s="240"/>
      <c r="G116" s="241">
        <f t="shared" si="18"/>
        <v>0</v>
      </c>
      <c r="H116" s="54"/>
      <c r="I116" s="242">
        <f>'Tariff Inputs'!D17</f>
        <v>25</v>
      </c>
      <c r="J116" s="243">
        <f>IF('Tariff Inputs'!$D$21="Yes",IF(I116&gt;0,G116/I116,0),0)</f>
        <v>0</v>
      </c>
      <c r="K116" s="198">
        <f>IF('Tariff Inputs'!$D$22="Yes",IF(I116&gt;0,HLOOKUP('Capital Costs Details'!I116,'Tariff Calculator'!$C$5:$AR$11,7),0),0)</f>
        <v>0</v>
      </c>
      <c r="L116" s="244">
        <f>IF('Tariff Inputs'!$D$22="Yes",IF(K116&gt;0,G116/K116,0),0)</f>
        <v>0</v>
      </c>
    </row>
    <row r="117" spans="3:12" x14ac:dyDescent="0.2">
      <c r="C117" s="34" t="s">
        <v>143</v>
      </c>
      <c r="D117" s="239"/>
      <c r="E117" s="240"/>
      <c r="F117" s="240"/>
      <c r="G117" s="241">
        <f t="shared" si="18"/>
        <v>0</v>
      </c>
      <c r="H117" s="54"/>
      <c r="I117" s="242">
        <f>'Tariff Inputs'!D17</f>
        <v>25</v>
      </c>
      <c r="J117" s="243">
        <f>IF('Tariff Inputs'!$D$21="Yes",IF(I117&gt;0,G117/I117,0),0)</f>
        <v>0</v>
      </c>
      <c r="K117" s="198">
        <f>IF('Tariff Inputs'!$D$22="Yes",IF(I117&gt;0,HLOOKUP('Capital Costs Details'!I117,'Tariff Calculator'!$C$5:$AR$11,7),0),0)</f>
        <v>0</v>
      </c>
      <c r="L117" s="244">
        <f>IF('Tariff Inputs'!$D$22="Yes",IF(K117&gt;0,G117/K117,0),0)</f>
        <v>0</v>
      </c>
    </row>
    <row r="118" spans="3:12" x14ac:dyDescent="0.2">
      <c r="C118" s="34" t="s">
        <v>144</v>
      </c>
      <c r="D118" s="239"/>
      <c r="E118" s="240"/>
      <c r="F118" s="240"/>
      <c r="G118" s="241">
        <f t="shared" si="18"/>
        <v>0</v>
      </c>
      <c r="H118" s="54"/>
      <c r="I118" s="242">
        <f>'Tariff Inputs'!D17</f>
        <v>25</v>
      </c>
      <c r="J118" s="243">
        <f>IF('Tariff Inputs'!$D$21="Yes",IF(I118&gt;0,G118/I118,0),0)</f>
        <v>0</v>
      </c>
      <c r="K118" s="198">
        <f>IF('Tariff Inputs'!$D$22="Yes",IF(I118&gt;0,HLOOKUP('Capital Costs Details'!I118,'Tariff Calculator'!$C$5:$AR$11,7),0),0)</f>
        <v>0</v>
      </c>
      <c r="L118" s="244">
        <f>IF('Tariff Inputs'!$D$22="Yes",IF(K118&gt;0,G118/K118,0),0)</f>
        <v>0</v>
      </c>
    </row>
    <row r="119" spans="3:12" x14ac:dyDescent="0.2">
      <c r="C119" s="34" t="s">
        <v>121</v>
      </c>
      <c r="D119" s="239"/>
      <c r="E119" s="240"/>
      <c r="F119" s="240"/>
      <c r="G119" s="241">
        <f t="shared" si="18"/>
        <v>0</v>
      </c>
      <c r="H119" s="54"/>
      <c r="I119" s="242">
        <f>'Tariff Inputs'!D17</f>
        <v>25</v>
      </c>
      <c r="J119" s="243">
        <f>IF('Tariff Inputs'!$D$21="Yes",IF(I119&gt;0,G119/I119,0),0)</f>
        <v>0</v>
      </c>
      <c r="K119" s="198">
        <f>IF('Tariff Inputs'!$D$22="Yes",IF(I119&gt;0,HLOOKUP('Capital Costs Details'!I119,'Tariff Calculator'!$C$5:$AR$11,7),0),0)</f>
        <v>0</v>
      </c>
      <c r="L119" s="244">
        <f>IF('Tariff Inputs'!$D$22="Yes",IF(K119&gt;0,G119/K119,0),0)</f>
        <v>0</v>
      </c>
    </row>
    <row r="120" spans="3:12" x14ac:dyDescent="0.2">
      <c r="C120" s="34" t="s">
        <v>7</v>
      </c>
      <c r="D120" s="239"/>
      <c r="E120" s="240"/>
      <c r="F120" s="240"/>
      <c r="G120" s="241">
        <f t="shared" si="18"/>
        <v>0</v>
      </c>
      <c r="H120" s="54"/>
      <c r="I120" s="242">
        <f>'Tariff Inputs'!D17</f>
        <v>25</v>
      </c>
      <c r="J120" s="243">
        <f>IF('Tariff Inputs'!$D$21="Yes",IF(I120&gt;0,G120/I120,0),0)</f>
        <v>0</v>
      </c>
      <c r="K120" s="198">
        <f>IF('Tariff Inputs'!$D$22="Yes",IF(I120&gt;0,HLOOKUP('Capital Costs Details'!I120,'Tariff Calculator'!$C$5:$AR$11,7),0),0)</f>
        <v>0</v>
      </c>
      <c r="L120" s="244">
        <f>IF('Tariff Inputs'!$D$22="Yes",IF(K120&gt;0,G120/K120,0),0)</f>
        <v>0</v>
      </c>
    </row>
    <row r="121" spans="3:12" x14ac:dyDescent="0.2">
      <c r="C121" s="34" t="s">
        <v>6</v>
      </c>
      <c r="D121" s="239"/>
      <c r="E121" s="240"/>
      <c r="F121" s="240"/>
      <c r="G121" s="241">
        <f t="shared" si="18"/>
        <v>0</v>
      </c>
      <c r="H121" s="54"/>
      <c r="I121" s="242">
        <f>'Tariff Inputs'!D17</f>
        <v>25</v>
      </c>
      <c r="J121" s="243">
        <f>IF('Tariff Inputs'!$D$21="Yes",IF(I121&gt;0,G121/I121,0),0)</f>
        <v>0</v>
      </c>
      <c r="K121" s="198">
        <f>IF('Tariff Inputs'!$D$22="Yes",IF(I121&gt;0,HLOOKUP('Capital Costs Details'!I121,'Tariff Calculator'!$C$5:$AR$11,7),0),0)</f>
        <v>0</v>
      </c>
      <c r="L121" s="244">
        <f>IF('Tariff Inputs'!$D$22="Yes",IF(K121&gt;0,G121/K121,0),0)</f>
        <v>0</v>
      </c>
    </row>
    <row r="122" spans="3:12" x14ac:dyDescent="0.2">
      <c r="C122" s="34" t="s">
        <v>123</v>
      </c>
      <c r="D122" s="239"/>
      <c r="E122" s="240"/>
      <c r="F122" s="240"/>
      <c r="G122" s="241">
        <f t="shared" si="18"/>
        <v>0</v>
      </c>
      <c r="H122" s="54"/>
      <c r="I122" s="242">
        <f>'Tariff Inputs'!D17</f>
        <v>25</v>
      </c>
      <c r="J122" s="243">
        <f>IF('Tariff Inputs'!$D$21="Yes",IF(I122&gt;0,G122/I122,0),0)</f>
        <v>0</v>
      </c>
      <c r="K122" s="198">
        <f>IF('Tariff Inputs'!$D$22="Yes",IF(I122&gt;0,HLOOKUP('Capital Costs Details'!I122,'Tariff Calculator'!$C$5:$AR$11,7),0),0)</f>
        <v>0</v>
      </c>
      <c r="L122" s="244">
        <f>IF('Tariff Inputs'!$D$22="Yes",IF(K122&gt;0,G122/K122,0),0)</f>
        <v>0</v>
      </c>
    </row>
    <row r="123" spans="3:12" x14ac:dyDescent="0.2">
      <c r="C123" s="96" t="s">
        <v>459</v>
      </c>
      <c r="D123" s="255"/>
      <c r="E123" s="256"/>
      <c r="F123" s="256"/>
      <c r="G123" s="257">
        <f t="shared" si="18"/>
        <v>0</v>
      </c>
      <c r="H123" s="54"/>
      <c r="I123" s="142">
        <f>'Tariff Inputs'!D17</f>
        <v>25</v>
      </c>
      <c r="J123" s="258">
        <f>IF('Tariff Inputs'!$D$21="Yes",IF(I123&gt;0,G123/I123,0),0)</f>
        <v>0</v>
      </c>
      <c r="K123" s="259">
        <f>IF('Tariff Inputs'!$D$22="Yes",IF(I123&gt;0,HLOOKUP('Capital Costs Details'!I123,'Tariff Calculator'!$C$5:$AR$11,7),0),0)</f>
        <v>0</v>
      </c>
      <c r="L123" s="260">
        <f>IF('Tariff Inputs'!$D$22="Yes",IF(K123&gt;0,G123/K123,0),0)</f>
        <v>0</v>
      </c>
    </row>
    <row r="124" spans="3:12" x14ac:dyDescent="0.2">
      <c r="C124" s="698" t="s">
        <v>396</v>
      </c>
      <c r="D124" s="699"/>
      <c r="E124" s="699"/>
      <c r="F124" s="699"/>
      <c r="G124" s="699"/>
      <c r="H124" s="699"/>
      <c r="I124" s="699"/>
      <c r="J124" s="699"/>
      <c r="K124" s="699"/>
      <c r="L124" s="700"/>
    </row>
    <row r="125" spans="3:12" x14ac:dyDescent="0.2">
      <c r="C125" s="34" t="s">
        <v>45</v>
      </c>
      <c r="D125" s="240"/>
      <c r="E125" s="239"/>
      <c r="F125" s="240"/>
      <c r="G125" s="241">
        <f t="shared" si="18"/>
        <v>0</v>
      </c>
      <c r="H125" s="261"/>
      <c r="I125" s="242">
        <f>'Tariff Inputs'!D17</f>
        <v>25</v>
      </c>
      <c r="J125" s="243">
        <f>IF('Tariff Inputs'!$D$21="Yes",IF(I125&gt;0,G125/I125,0),0)</f>
        <v>0</v>
      </c>
      <c r="K125" s="198">
        <f>IF('Tariff Inputs'!$D$22="Yes",IF(I125&gt;0,HLOOKUP('Capital Costs Details'!I125,'Tariff Calculator'!$C$5:$AR$11,7),0),0)</f>
        <v>0</v>
      </c>
      <c r="L125" s="244">
        <f>IF('Tariff Inputs'!$D$22="Yes",IF(K125&gt;0,G125/K125,0),0)</f>
        <v>0</v>
      </c>
    </row>
    <row r="126" spans="3:12" x14ac:dyDescent="0.2">
      <c r="C126" s="34" t="s">
        <v>11</v>
      </c>
      <c r="D126" s="240"/>
      <c r="E126" s="239"/>
      <c r="F126" s="240"/>
      <c r="G126" s="241">
        <f t="shared" si="18"/>
        <v>0</v>
      </c>
      <c r="H126" s="54"/>
      <c r="I126" s="242">
        <f>'Tariff Inputs'!D17</f>
        <v>25</v>
      </c>
      <c r="J126" s="243">
        <f>IF('Tariff Inputs'!$D$21="Yes",IF(I126&gt;0,G126/I126,0),0)</f>
        <v>0</v>
      </c>
      <c r="K126" s="198">
        <f>IF('Tariff Inputs'!$D$22="Yes",IF(I126&gt;0,HLOOKUP('Capital Costs Details'!I126,'Tariff Calculator'!$C$5:$AR$11,7),0),0)</f>
        <v>0</v>
      </c>
      <c r="L126" s="244">
        <f>IF('Tariff Inputs'!$D$22="Yes",IF(K126&gt;0,G126/K126,0),0)</f>
        <v>0</v>
      </c>
    </row>
    <row r="127" spans="3:12" x14ac:dyDescent="0.2">
      <c r="C127" s="34" t="s">
        <v>211</v>
      </c>
      <c r="D127" s="240"/>
      <c r="E127" s="239"/>
      <c r="F127" s="240"/>
      <c r="G127" s="241">
        <f t="shared" si="18"/>
        <v>0</v>
      </c>
      <c r="H127" s="54"/>
      <c r="I127" s="242">
        <f>'Tariff Inputs'!D17</f>
        <v>25</v>
      </c>
      <c r="J127" s="243">
        <f>IF('Tariff Inputs'!$D$21="Yes",IF(I127&gt;0,G127/I127,0),0)</f>
        <v>0</v>
      </c>
      <c r="K127" s="198">
        <f>IF('Tariff Inputs'!$D$22="Yes",IF(I127&gt;0,HLOOKUP('Capital Costs Details'!I127,'Tariff Calculator'!$C$5:$AR$11,7),0),0)</f>
        <v>0</v>
      </c>
      <c r="L127" s="244">
        <f>IF('Tariff Inputs'!$D$22="Yes",IF(K127&gt;0,G127/K127,0),0)</f>
        <v>0</v>
      </c>
    </row>
    <row r="128" spans="3:12" x14ac:dyDescent="0.2">
      <c r="C128" s="34" t="s">
        <v>212</v>
      </c>
      <c r="D128" s="240"/>
      <c r="E128" s="239"/>
      <c r="F128" s="240"/>
      <c r="G128" s="241">
        <f t="shared" si="18"/>
        <v>0</v>
      </c>
      <c r="H128" s="54"/>
      <c r="I128" s="242">
        <f>'Tariff Inputs'!D17</f>
        <v>25</v>
      </c>
      <c r="J128" s="243">
        <f>IF('Tariff Inputs'!$D$21="Yes",IF(I128&gt;0,G128/I128,0),0)</f>
        <v>0</v>
      </c>
      <c r="K128" s="198">
        <f>IF('Tariff Inputs'!$D$22="Yes",IF(I128&gt;0,HLOOKUP('Capital Costs Details'!I128,'Tariff Calculator'!$C$5:$AR$11,7),0),0)</f>
        <v>0</v>
      </c>
      <c r="L128" s="244">
        <f>IF('Tariff Inputs'!$D$22="Yes",IF(K128&gt;0,G128/K128,0),0)</f>
        <v>0</v>
      </c>
    </row>
    <row r="129" spans="1:301" x14ac:dyDescent="0.2">
      <c r="C129" s="34" t="s">
        <v>214</v>
      </c>
      <c r="D129" s="240"/>
      <c r="E129" s="239"/>
      <c r="F129" s="240"/>
      <c r="G129" s="241">
        <f t="shared" ref="G129" si="21">SUM(D129:F129)</f>
        <v>0</v>
      </c>
      <c r="H129" s="54"/>
      <c r="I129" s="242">
        <f>'Tariff Inputs'!D17</f>
        <v>25</v>
      </c>
      <c r="J129" s="243">
        <f>IF('Tariff Inputs'!$D$21="Yes",IF(I129&gt;0,G129/I129,0),0)</f>
        <v>0</v>
      </c>
      <c r="K129" s="198">
        <f>IF('Tariff Inputs'!$D$22="Yes",IF(I129&gt;0,HLOOKUP('Capital Costs Details'!I129,'Tariff Calculator'!$C$5:$AR$11,7),0),0)</f>
        <v>0</v>
      </c>
      <c r="L129" s="244">
        <f>IF('Tariff Inputs'!$D$22="Yes",IF(K129&gt;0,G129/K129,0),0)</f>
        <v>0</v>
      </c>
    </row>
    <row r="130" spans="1:301" x14ac:dyDescent="0.2">
      <c r="C130" s="34" t="s">
        <v>121</v>
      </c>
      <c r="D130" s="240"/>
      <c r="E130" s="239"/>
      <c r="F130" s="240"/>
      <c r="G130" s="241">
        <f t="shared" si="18"/>
        <v>0</v>
      </c>
      <c r="H130" s="54"/>
      <c r="I130" s="242">
        <v>10</v>
      </c>
      <c r="J130" s="243">
        <f>IF('Tariff Inputs'!$D$21="Yes",IF(I130&gt;0,G130/I130,0),0)</f>
        <v>0</v>
      </c>
      <c r="K130" s="198">
        <f>IF('Tariff Inputs'!$D$22="Yes",IF(I130&gt;0,HLOOKUP('Capital Costs Details'!I130,'Tariff Calculator'!$C$5:$AR$11,7),0),0)</f>
        <v>0</v>
      </c>
      <c r="L130" s="244">
        <f>IF('Tariff Inputs'!$D$22="Yes",IF(K130&gt;0,G130/K130,0),0)</f>
        <v>0</v>
      </c>
    </row>
    <row r="131" spans="1:301" x14ac:dyDescent="0.2">
      <c r="C131" s="34"/>
      <c r="D131" s="240"/>
      <c r="E131" s="239"/>
      <c r="F131" s="240"/>
      <c r="G131" s="241">
        <f t="shared" si="18"/>
        <v>0</v>
      </c>
      <c r="H131" s="262"/>
      <c r="I131" s="263"/>
      <c r="J131" s="243">
        <f>IF('Tariff Inputs'!$D$21="Yes",IF(I131&gt;0,G131/I131,0),0)</f>
        <v>0</v>
      </c>
      <c r="K131" s="198">
        <f>IF('Tariff Inputs'!$D$22="Yes",IF(I131&gt;0,HLOOKUP('Capital Costs Details'!I131,'Tariff Calculator'!$C$5:$AR$11,7),0),0)</f>
        <v>0</v>
      </c>
      <c r="L131" s="244">
        <f>IF('Tariff Inputs'!$D$22="Yes",IF(K131&gt;0,G131/K131,0),0)</f>
        <v>0</v>
      </c>
    </row>
    <row r="132" spans="1:301" s="25" customFormat="1" x14ac:dyDescent="0.2">
      <c r="A132" s="171"/>
      <c r="C132" s="698" t="s">
        <v>397</v>
      </c>
      <c r="D132" s="701"/>
      <c r="E132" s="701"/>
      <c r="F132" s="701"/>
      <c r="G132" s="701"/>
      <c r="H132" s="701"/>
      <c r="I132" s="701"/>
      <c r="J132" s="701"/>
      <c r="K132" s="701"/>
      <c r="L132" s="702"/>
      <c r="M132" s="26"/>
      <c r="N132" s="170"/>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1"/>
      <c r="BR132" s="171"/>
      <c r="BS132" s="171"/>
      <c r="BT132" s="171"/>
      <c r="BU132" s="171"/>
      <c r="BV132" s="171"/>
      <c r="BW132" s="171"/>
      <c r="BX132" s="171"/>
      <c r="BY132" s="171"/>
      <c r="BZ132" s="171"/>
      <c r="CA132" s="171"/>
      <c r="CB132" s="171"/>
      <c r="CC132" s="171"/>
      <c r="CD132" s="171"/>
      <c r="CE132" s="171"/>
      <c r="CF132" s="171"/>
      <c r="CG132" s="171"/>
      <c r="CH132" s="171"/>
      <c r="CI132" s="171"/>
      <c r="CJ132" s="171"/>
      <c r="CK132" s="171"/>
      <c r="CL132" s="171"/>
      <c r="CM132" s="171"/>
      <c r="CN132" s="171"/>
      <c r="CO132" s="171"/>
      <c r="CP132" s="171"/>
      <c r="CQ132" s="171"/>
      <c r="CR132" s="171"/>
      <c r="CS132" s="171"/>
      <c r="CT132" s="171"/>
      <c r="CU132" s="171"/>
      <c r="CV132" s="171"/>
      <c r="CW132" s="171"/>
      <c r="CX132" s="171"/>
      <c r="CY132" s="171"/>
      <c r="CZ132" s="171"/>
      <c r="DA132" s="171"/>
      <c r="DB132" s="171"/>
      <c r="DC132" s="171"/>
      <c r="DD132" s="171"/>
      <c r="DE132" s="171"/>
      <c r="DF132" s="171"/>
      <c r="DG132" s="171"/>
      <c r="DH132" s="171"/>
      <c r="DI132" s="171"/>
      <c r="DJ132" s="171"/>
      <c r="DK132" s="171"/>
      <c r="DL132" s="171"/>
      <c r="DM132" s="171"/>
      <c r="DN132" s="171"/>
      <c r="DO132" s="171"/>
      <c r="DP132" s="171"/>
      <c r="DQ132" s="171"/>
      <c r="DR132" s="171"/>
      <c r="DS132" s="171"/>
      <c r="DT132" s="171"/>
      <c r="DU132" s="171"/>
      <c r="DV132" s="171"/>
      <c r="DW132" s="171"/>
      <c r="DX132" s="171"/>
      <c r="DY132" s="171"/>
      <c r="DZ132" s="171"/>
      <c r="EA132" s="171"/>
      <c r="EB132" s="171"/>
      <c r="EC132" s="171"/>
      <c r="ED132" s="171"/>
      <c r="EE132" s="171"/>
      <c r="EF132" s="171"/>
      <c r="EG132" s="171"/>
      <c r="EH132" s="171"/>
      <c r="EI132" s="171"/>
      <c r="EJ132" s="171"/>
      <c r="EK132" s="171"/>
      <c r="EL132" s="171"/>
      <c r="EM132" s="171"/>
      <c r="EN132" s="171"/>
      <c r="EO132" s="171"/>
      <c r="EP132" s="171"/>
      <c r="EQ132" s="171"/>
      <c r="ER132" s="171"/>
      <c r="ES132" s="171"/>
      <c r="ET132" s="171"/>
      <c r="EU132" s="171"/>
      <c r="EV132" s="171"/>
      <c r="EW132" s="171"/>
      <c r="EX132" s="171"/>
      <c r="EY132" s="171"/>
      <c r="EZ132" s="171"/>
      <c r="FA132" s="171"/>
      <c r="FB132" s="171"/>
      <c r="FC132" s="171"/>
      <c r="FD132" s="171"/>
      <c r="FE132" s="171"/>
      <c r="FF132" s="171"/>
      <c r="FG132" s="171"/>
      <c r="FH132" s="171"/>
      <c r="FI132" s="171"/>
      <c r="FJ132" s="171"/>
      <c r="FK132" s="171"/>
      <c r="FL132" s="171"/>
      <c r="FM132" s="171"/>
      <c r="FN132" s="171"/>
      <c r="FO132" s="171"/>
      <c r="FP132" s="171"/>
      <c r="FQ132" s="171"/>
      <c r="FR132" s="171"/>
      <c r="FS132" s="171"/>
      <c r="FT132" s="171"/>
      <c r="FU132" s="171"/>
      <c r="FV132" s="171"/>
      <c r="FW132" s="171"/>
      <c r="FX132" s="171"/>
      <c r="FY132" s="171"/>
      <c r="FZ132" s="171"/>
      <c r="GA132" s="171"/>
      <c r="GB132" s="171"/>
      <c r="GC132" s="171"/>
      <c r="GD132" s="171"/>
      <c r="GE132" s="171"/>
      <c r="GF132" s="171"/>
      <c r="GG132" s="171"/>
      <c r="GH132" s="171"/>
      <c r="GI132" s="171"/>
      <c r="GJ132" s="171"/>
      <c r="GK132" s="171"/>
      <c r="GL132" s="171"/>
      <c r="GM132" s="171"/>
      <c r="GN132" s="171"/>
      <c r="GO132" s="171"/>
      <c r="GP132" s="171"/>
      <c r="GQ132" s="171"/>
      <c r="GR132" s="171"/>
      <c r="GS132" s="171"/>
      <c r="GT132" s="171"/>
      <c r="GU132" s="171"/>
      <c r="GV132" s="171"/>
      <c r="GW132" s="171"/>
      <c r="GX132" s="171"/>
      <c r="GY132" s="171"/>
      <c r="GZ132" s="171"/>
      <c r="HA132" s="171"/>
      <c r="HB132" s="171"/>
      <c r="HC132" s="171"/>
      <c r="HD132" s="171"/>
      <c r="HE132" s="171"/>
      <c r="HF132" s="171"/>
      <c r="HG132" s="171"/>
      <c r="HH132" s="171"/>
      <c r="HI132" s="171"/>
      <c r="HJ132" s="171"/>
      <c r="HK132" s="171"/>
      <c r="HL132" s="171"/>
      <c r="HM132" s="171"/>
      <c r="HN132" s="171"/>
      <c r="HO132" s="171"/>
      <c r="HP132" s="171"/>
      <c r="HQ132" s="171"/>
      <c r="HR132" s="171"/>
      <c r="HS132" s="171"/>
      <c r="HT132" s="171"/>
      <c r="HU132" s="171"/>
      <c r="HV132" s="171"/>
      <c r="HW132" s="171"/>
      <c r="HX132" s="171"/>
      <c r="HY132" s="171"/>
      <c r="HZ132" s="171"/>
      <c r="IA132" s="171"/>
      <c r="IB132" s="171"/>
      <c r="IC132" s="171"/>
      <c r="ID132" s="171"/>
      <c r="IE132" s="171"/>
      <c r="IF132" s="171"/>
      <c r="IG132" s="171"/>
      <c r="IH132" s="171"/>
      <c r="II132" s="171"/>
      <c r="IJ132" s="171"/>
      <c r="IK132" s="171"/>
      <c r="IL132" s="171"/>
      <c r="IM132" s="171"/>
      <c r="IN132" s="171"/>
      <c r="IO132" s="171"/>
      <c r="IP132" s="171"/>
      <c r="IQ132" s="171"/>
      <c r="IR132" s="171"/>
      <c r="IS132" s="171"/>
      <c r="IT132" s="171"/>
      <c r="IU132" s="171"/>
      <c r="IV132" s="171"/>
      <c r="IW132" s="171"/>
      <c r="IX132" s="171"/>
      <c r="IY132" s="171"/>
      <c r="IZ132" s="171"/>
      <c r="JA132" s="171"/>
      <c r="JB132" s="171"/>
      <c r="JC132" s="171"/>
      <c r="JD132" s="171"/>
      <c r="JE132" s="171"/>
      <c r="JF132" s="171"/>
      <c r="JG132" s="171"/>
      <c r="JH132" s="171"/>
      <c r="JI132" s="171"/>
      <c r="JJ132" s="171"/>
      <c r="JK132" s="171"/>
      <c r="JL132" s="171"/>
      <c r="JM132" s="171"/>
      <c r="JN132" s="171"/>
      <c r="JO132" s="171"/>
      <c r="JP132" s="171"/>
      <c r="JQ132" s="171"/>
      <c r="JR132" s="171"/>
      <c r="JS132" s="171"/>
      <c r="JT132" s="171"/>
      <c r="JU132" s="171"/>
      <c r="JV132" s="171"/>
      <c r="JW132" s="171"/>
      <c r="JX132" s="171"/>
      <c r="JY132" s="171"/>
      <c r="JZ132" s="171"/>
      <c r="KA132" s="171"/>
      <c r="KB132" s="171"/>
      <c r="KC132" s="171"/>
      <c r="KD132" s="171"/>
      <c r="KE132" s="171"/>
      <c r="KF132" s="171"/>
      <c r="KG132" s="171"/>
      <c r="KH132" s="171"/>
      <c r="KI132" s="171"/>
      <c r="KJ132" s="171"/>
      <c r="KK132" s="171"/>
      <c r="KL132" s="171"/>
      <c r="KM132" s="171"/>
      <c r="KN132" s="171"/>
      <c r="KO132" s="171"/>
    </row>
    <row r="133" spans="1:301" x14ac:dyDescent="0.2">
      <c r="C133" s="34" t="s">
        <v>213</v>
      </c>
      <c r="D133" s="240"/>
      <c r="E133" s="240"/>
      <c r="F133" s="239"/>
      <c r="G133" s="241">
        <f t="shared" si="18"/>
        <v>0</v>
      </c>
      <c r="H133" s="261"/>
      <c r="I133" s="242">
        <f>'Tariff Inputs'!D17</f>
        <v>25</v>
      </c>
      <c r="J133" s="243">
        <f>IF('Tariff Inputs'!$D$21="Yes",IF(I133&gt;0,G133/I133,0),0)</f>
        <v>0</v>
      </c>
      <c r="K133" s="198">
        <f>IF('Tariff Inputs'!$D$22="Yes",IF(I133&gt;0,HLOOKUP('Capital Costs Details'!I133,'Tariff Calculator'!$C$5:$AR$11,7),0),0)</f>
        <v>0</v>
      </c>
      <c r="L133" s="244">
        <f>IF('Tariff Inputs'!$D$22="Yes",IF(K133&gt;0,G133/K133,0),0)</f>
        <v>0</v>
      </c>
    </row>
    <row r="134" spans="1:301" x14ac:dyDescent="0.2">
      <c r="C134" s="34" t="s">
        <v>151</v>
      </c>
      <c r="D134" s="240"/>
      <c r="E134" s="240"/>
      <c r="F134" s="239"/>
      <c r="G134" s="241">
        <f t="shared" si="18"/>
        <v>0</v>
      </c>
      <c r="H134" s="54"/>
      <c r="I134" s="242">
        <v>10</v>
      </c>
      <c r="J134" s="243">
        <f>IF('Tariff Inputs'!$D$21="Yes",IF(I134&gt;0,G134/I134,0),0)</f>
        <v>0</v>
      </c>
      <c r="K134" s="198">
        <f>IF('Tariff Inputs'!$D$22="Yes",IF(I134&gt;0,HLOOKUP('Capital Costs Details'!I134,'Tariff Calculator'!$C$5:$AR$11,7),0),0)</f>
        <v>0</v>
      </c>
      <c r="L134" s="244">
        <f>IF('Tariff Inputs'!$D$22="Yes",IF(K134&gt;0,G134/K134,0),0)</f>
        <v>0</v>
      </c>
    </row>
    <row r="135" spans="1:301" x14ac:dyDescent="0.2">
      <c r="C135" s="34" t="s">
        <v>152</v>
      </c>
      <c r="D135" s="240"/>
      <c r="E135" s="240"/>
      <c r="F135" s="239"/>
      <c r="G135" s="241">
        <f t="shared" si="18"/>
        <v>0</v>
      </c>
      <c r="H135" s="54"/>
      <c r="I135" s="242">
        <v>15</v>
      </c>
      <c r="J135" s="243">
        <f>IF('Tariff Inputs'!$D$21="Yes",IF(I135&gt;0,G135/I135,0),0)</f>
        <v>0</v>
      </c>
      <c r="K135" s="198">
        <f>IF('Tariff Inputs'!$D$22="Yes",IF(I135&gt;0,HLOOKUP('Capital Costs Details'!I135,'Tariff Calculator'!$C$5:$AR$11,7),0),0)</f>
        <v>0</v>
      </c>
      <c r="L135" s="244">
        <f>IF('Tariff Inputs'!$D$22="Yes",IF(K135&gt;0,G135/K135,0),0)</f>
        <v>0</v>
      </c>
    </row>
    <row r="136" spans="1:301" x14ac:dyDescent="0.2">
      <c r="C136" s="34" t="s">
        <v>153</v>
      </c>
      <c r="D136" s="240"/>
      <c r="E136" s="240"/>
      <c r="F136" s="239"/>
      <c r="G136" s="241">
        <f t="shared" si="18"/>
        <v>0</v>
      </c>
      <c r="H136" s="54"/>
      <c r="I136" s="242">
        <v>15</v>
      </c>
      <c r="J136" s="243">
        <f>IF('Tariff Inputs'!$D$21="Yes",IF(I136&gt;0,G136/I136,0),0)</f>
        <v>0</v>
      </c>
      <c r="K136" s="198">
        <f>IF('Tariff Inputs'!$D$22="Yes",IF(I136&gt;0,HLOOKUP('Capital Costs Details'!I136,'Tariff Calculator'!$C$5:$AR$11,7),0),0)</f>
        <v>0</v>
      </c>
      <c r="L136" s="244">
        <f>IF('Tariff Inputs'!$D$22="Yes",IF(K136&gt;0,G136/K136,0),0)</f>
        <v>0</v>
      </c>
    </row>
    <row r="137" spans="1:301" x14ac:dyDescent="0.2">
      <c r="C137" s="34" t="s">
        <v>154</v>
      </c>
      <c r="D137" s="240"/>
      <c r="E137" s="240"/>
      <c r="F137" s="239"/>
      <c r="G137" s="241">
        <f t="shared" si="18"/>
        <v>0</v>
      </c>
      <c r="H137" s="54"/>
      <c r="I137" s="242">
        <v>15</v>
      </c>
      <c r="J137" s="243">
        <f>IF('Tariff Inputs'!$D$21="Yes",IF(I137&gt;0,G137/I137,0),0)</f>
        <v>0</v>
      </c>
      <c r="K137" s="198">
        <f>IF('Tariff Inputs'!$D$22="Yes",IF(I137&gt;0,HLOOKUP('Capital Costs Details'!I137,'Tariff Calculator'!$C$5:$AR$11,7),0),0)</f>
        <v>0</v>
      </c>
      <c r="L137" s="244">
        <f>IF('Tariff Inputs'!$D$22="Yes",IF(K137&gt;0,G137/K137,0),0)</f>
        <v>0</v>
      </c>
    </row>
    <row r="138" spans="1:301" x14ac:dyDescent="0.2">
      <c r="C138" s="34" t="s">
        <v>155</v>
      </c>
      <c r="D138" s="240"/>
      <c r="E138" s="240"/>
      <c r="F138" s="239"/>
      <c r="G138" s="241">
        <f t="shared" si="18"/>
        <v>0</v>
      </c>
      <c r="H138" s="54"/>
      <c r="I138" s="242">
        <v>15</v>
      </c>
      <c r="J138" s="243">
        <f>IF('Tariff Inputs'!$D$21="Yes",IF(I138&gt;0,G138/I138,0),0)</f>
        <v>0</v>
      </c>
      <c r="K138" s="198">
        <f>IF('Tariff Inputs'!$D$22="Yes",IF(I138&gt;0,HLOOKUP('Capital Costs Details'!I138,'Tariff Calculator'!$C$5:$AR$11,7),0),0)</f>
        <v>0</v>
      </c>
      <c r="L138" s="244">
        <f>IF('Tariff Inputs'!$D$22="Yes",IF(K138&gt;0,G138/K138,0),0)</f>
        <v>0</v>
      </c>
    </row>
    <row r="139" spans="1:301" x14ac:dyDescent="0.2">
      <c r="C139" s="34" t="s">
        <v>122</v>
      </c>
      <c r="D139" s="240"/>
      <c r="E139" s="240"/>
      <c r="F139" s="239"/>
      <c r="G139" s="241">
        <f t="shared" si="18"/>
        <v>0</v>
      </c>
      <c r="H139" s="54"/>
      <c r="I139" s="242">
        <v>15</v>
      </c>
      <c r="J139" s="243">
        <f>IF('Tariff Inputs'!$D$21="Yes",IF(I139&gt;0,G139/I139,0),0)</f>
        <v>0</v>
      </c>
      <c r="K139" s="198">
        <f>IF('Tariff Inputs'!$D$22="Yes",IF(I139&gt;0,HLOOKUP('Capital Costs Details'!I139,'Tariff Calculator'!$C$5:$AR$11,7),0),0)</f>
        <v>0</v>
      </c>
      <c r="L139" s="244">
        <f>IF('Tariff Inputs'!$D$22="Yes",IF(K139&gt;0,G139/K139,0),0)</f>
        <v>0</v>
      </c>
    </row>
    <row r="140" spans="1:301" x14ac:dyDescent="0.2">
      <c r="C140" s="34" t="s">
        <v>215</v>
      </c>
      <c r="D140" s="240"/>
      <c r="E140" s="240"/>
      <c r="F140" s="239"/>
      <c r="G140" s="241">
        <f t="shared" si="18"/>
        <v>0</v>
      </c>
      <c r="H140" s="54"/>
      <c r="I140" s="242">
        <f>'Tariff Inputs'!D17</f>
        <v>25</v>
      </c>
      <c r="J140" s="243">
        <f>IF('Tariff Inputs'!$D$21="Yes",IF(I140&gt;0,G140/I140,0),0)</f>
        <v>0</v>
      </c>
      <c r="K140" s="198">
        <f>IF('Tariff Inputs'!$D$22="Yes",IF(I140&gt;0,HLOOKUP('Capital Costs Details'!I140,'Tariff Calculator'!$C$5:$AR$11,7),0),0)</f>
        <v>0</v>
      </c>
      <c r="L140" s="244">
        <f>IF('Tariff Inputs'!$D$22="Yes",IF(K140&gt;0,G140/K140,0),0)</f>
        <v>0</v>
      </c>
    </row>
    <row r="141" spans="1:301" x14ac:dyDescent="0.2">
      <c r="C141" s="34"/>
      <c r="D141" s="256"/>
      <c r="E141" s="256"/>
      <c r="F141" s="181"/>
      <c r="G141" s="257">
        <f t="shared" si="18"/>
        <v>0</v>
      </c>
      <c r="H141" s="54"/>
      <c r="I141" s="142"/>
      <c r="J141" s="258">
        <f>IF('Tariff Inputs'!$D$21="Yes",IF(I141&gt;0,G141/I141,0),0)</f>
        <v>0</v>
      </c>
      <c r="K141" s="259">
        <f>IF('Tariff Inputs'!$D$22="Yes",IF(I141&gt;0,HLOOKUP('Capital Costs Details'!I141,'Tariff Calculator'!$C$5:$AR$11,7),0),0)</f>
        <v>0</v>
      </c>
      <c r="L141" s="260">
        <f>IF('Tariff Inputs'!$D$22="Yes",IF(K141&gt;0,G141/K141,0),0)</f>
        <v>0</v>
      </c>
    </row>
    <row r="142" spans="1:301" x14ac:dyDescent="0.2">
      <c r="C142" s="698" t="s">
        <v>391</v>
      </c>
      <c r="D142" s="699"/>
      <c r="E142" s="699"/>
      <c r="F142" s="699"/>
      <c r="G142" s="699"/>
      <c r="H142" s="699"/>
      <c r="I142" s="699"/>
      <c r="J142" s="699"/>
      <c r="K142" s="699"/>
      <c r="L142" s="700"/>
    </row>
    <row r="143" spans="1:301" x14ac:dyDescent="0.2">
      <c r="C143" s="34" t="s">
        <v>205</v>
      </c>
      <c r="D143" s="239"/>
      <c r="E143" s="239"/>
      <c r="F143" s="239"/>
      <c r="G143" s="241">
        <f t="shared" si="18"/>
        <v>0</v>
      </c>
      <c r="H143" s="261"/>
      <c r="I143" s="242">
        <f>I13</f>
        <v>25</v>
      </c>
      <c r="J143" s="243">
        <f>IF('Tariff Inputs'!$D$21="Yes",IF(I143&gt;0,G143/I143,0),0)</f>
        <v>0</v>
      </c>
      <c r="K143" s="198">
        <f>IF('Tariff Inputs'!$D$22="Yes",IF(I143&gt;0,HLOOKUP('Capital Costs Details'!I143,'Tariff Calculator'!$C$5:$AR$11,7),0),0)</f>
        <v>0</v>
      </c>
      <c r="L143" s="244">
        <f>IF('Tariff Inputs'!$D$22="Yes",IF(K143&gt;0,G143/K143,0),0)</f>
        <v>0</v>
      </c>
    </row>
    <row r="144" spans="1:301" x14ac:dyDescent="0.2">
      <c r="C144" s="34" t="s">
        <v>207</v>
      </c>
      <c r="D144" s="239"/>
      <c r="E144" s="239"/>
      <c r="F144" s="239"/>
      <c r="G144" s="241">
        <f t="shared" si="18"/>
        <v>0</v>
      </c>
      <c r="H144" s="54"/>
      <c r="I144" s="242">
        <v>15</v>
      </c>
      <c r="J144" s="243">
        <f>IF('Tariff Inputs'!$D$21="Yes",IF(I144&gt;0,G144/I144,0),0)</f>
        <v>0</v>
      </c>
      <c r="K144" s="198">
        <f>IF('Tariff Inputs'!$D$22="Yes",IF(I144&gt;0,HLOOKUP('Capital Costs Details'!I144,'Tariff Calculator'!$C$5:$AR$11,7),0),0)</f>
        <v>0</v>
      </c>
      <c r="L144" s="244">
        <f>IF('Tariff Inputs'!$D$22="Yes",IF(K144&gt;0,G144/K144,0),0)</f>
        <v>0</v>
      </c>
    </row>
    <row r="145" spans="3:17" x14ac:dyDescent="0.2">
      <c r="C145" s="34" t="s">
        <v>161</v>
      </c>
      <c r="D145" s="239"/>
      <c r="E145" s="239"/>
      <c r="F145" s="239"/>
      <c r="G145" s="241">
        <f t="shared" si="18"/>
        <v>0</v>
      </c>
      <c r="H145" s="54"/>
      <c r="I145" s="242">
        <v>5</v>
      </c>
      <c r="J145" s="243">
        <f>IF('Tariff Inputs'!$D$21="Yes",IF(I145&gt;0,G145/I145,0),0)</f>
        <v>0</v>
      </c>
      <c r="K145" s="198">
        <f>IF('Tariff Inputs'!$D$22="Yes",IF(I145&gt;0,HLOOKUP('Capital Costs Details'!I145,'Tariff Calculator'!$C$5:$AR$11,7),0),0)</f>
        <v>0</v>
      </c>
      <c r="L145" s="244">
        <f>IF('Tariff Inputs'!$D$22="Yes",IF(K145&gt;0,G145/K145,0),0)</f>
        <v>0</v>
      </c>
    </row>
    <row r="146" spans="3:17" x14ac:dyDescent="0.2">
      <c r="C146" s="34" t="s">
        <v>208</v>
      </c>
      <c r="D146" s="239"/>
      <c r="E146" s="239"/>
      <c r="F146" s="239"/>
      <c r="G146" s="241">
        <f t="shared" si="18"/>
        <v>0</v>
      </c>
      <c r="H146" s="54"/>
      <c r="I146" s="242">
        <v>5</v>
      </c>
      <c r="J146" s="243">
        <f>IF('Tariff Inputs'!$D$21="Yes",IF(I146&gt;0,G146/I146,0),0)</f>
        <v>0</v>
      </c>
      <c r="K146" s="198">
        <f>IF('Tariff Inputs'!$D$22="Yes",IF(I146&gt;0,HLOOKUP('Capital Costs Details'!I146,'Tariff Calculator'!$C$5:$AR$11,7),0),0)</f>
        <v>0</v>
      </c>
      <c r="L146" s="244">
        <f>IF('Tariff Inputs'!$D$22="Yes",IF(K146&gt;0,G146/K146,0),0)</f>
        <v>0</v>
      </c>
    </row>
    <row r="147" spans="3:17" x14ac:dyDescent="0.2">
      <c r="C147" s="34"/>
      <c r="D147" s="239"/>
      <c r="E147" s="239"/>
      <c r="F147" s="239"/>
      <c r="G147" s="241">
        <f t="shared" ref="G147:G149" si="22">SUM(D147:F147)</f>
        <v>0</v>
      </c>
      <c r="H147" s="54"/>
      <c r="I147" s="242"/>
      <c r="J147" s="243">
        <f>IF('Tariff Inputs'!$D$21="Yes",IF(I147&gt;0,G147/I147,0),0)</f>
        <v>0</v>
      </c>
      <c r="K147" s="198">
        <f>IF('Tariff Inputs'!$D$22="Yes",IF(I147&gt;0,HLOOKUP('Capital Costs Details'!I147,'Tariff Calculator'!$C$5:$AR$11,7),0),0)</f>
        <v>0</v>
      </c>
      <c r="L147" s="244">
        <f>IF('Tariff Inputs'!$D$22="Yes",IF(K147&gt;0,G147/K147,0),0)</f>
        <v>0</v>
      </c>
    </row>
    <row r="148" spans="3:17" x14ac:dyDescent="0.2">
      <c r="C148" s="34"/>
      <c r="D148" s="239"/>
      <c r="E148" s="239"/>
      <c r="F148" s="239"/>
      <c r="G148" s="241">
        <f t="shared" si="22"/>
        <v>0</v>
      </c>
      <c r="H148" s="54"/>
      <c r="I148" s="242"/>
      <c r="J148" s="243">
        <f>IF('Tariff Inputs'!$D$21="Yes",IF(I148&gt;0,G148/I148,0),0)</f>
        <v>0</v>
      </c>
      <c r="K148" s="198">
        <f>IF('Tariff Inputs'!$D$22="Yes",IF(I148&gt;0,HLOOKUP('Capital Costs Details'!I148,'Tariff Calculator'!$C$5:$AR$11,7),0),0)</f>
        <v>0</v>
      </c>
      <c r="L148" s="244">
        <f>IF('Tariff Inputs'!$D$22="Yes",IF(K148&gt;0,G148/K148,0),0)</f>
        <v>0</v>
      </c>
    </row>
    <row r="149" spans="3:17" x14ac:dyDescent="0.2">
      <c r="C149" s="34"/>
      <c r="D149" s="239"/>
      <c r="E149" s="239"/>
      <c r="F149" s="239"/>
      <c r="G149" s="241">
        <f t="shared" si="22"/>
        <v>0</v>
      </c>
      <c r="H149" s="54"/>
      <c r="I149" s="242"/>
      <c r="J149" s="243">
        <f>IF('Tariff Inputs'!$D$21="Yes",IF(I149&gt;0,G149/I149,0),0)</f>
        <v>0</v>
      </c>
      <c r="K149" s="198">
        <f>IF('Tariff Inputs'!$D$22="Yes",IF(I149&gt;0,HLOOKUP('Capital Costs Details'!I149,'Tariff Calculator'!$C$5:$AR$11,7),0),0)</f>
        <v>0</v>
      </c>
      <c r="L149" s="244">
        <f>IF('Tariff Inputs'!$D$22="Yes",IF(K149&gt;0,G149/K149,0),0)</f>
        <v>0</v>
      </c>
    </row>
    <row r="150" spans="3:17" ht="15" x14ac:dyDescent="0.25">
      <c r="C150" s="245"/>
      <c r="D150" s="246"/>
      <c r="E150" s="246"/>
      <c r="F150" s="246"/>
      <c r="G150" s="246"/>
      <c r="H150" s="264"/>
      <c r="I150" s="246"/>
      <c r="J150" s="246"/>
      <c r="K150" s="246"/>
      <c r="L150" s="247"/>
    </row>
    <row r="151" spans="3:17" s="26" customFormat="1" x14ac:dyDescent="0.2">
      <c r="C151" s="640" t="s">
        <v>443</v>
      </c>
      <c r="D151" s="265">
        <f>SUM(D9:D149)</f>
        <v>0</v>
      </c>
      <c r="E151" s="248">
        <f>SUM(E9:E149)</f>
        <v>0</v>
      </c>
      <c r="F151" s="248">
        <f>SUM(F9:F149)</f>
        <v>0</v>
      </c>
      <c r="G151" s="248">
        <f>SUM(G9:G149)</f>
        <v>0</v>
      </c>
      <c r="H151" s="47"/>
      <c r="I151" s="249"/>
      <c r="J151" s="248">
        <f>SUM(J9:J149)</f>
        <v>0</v>
      </c>
      <c r="K151" s="250"/>
      <c r="L151" s="251">
        <f>SUM(L9:L149)</f>
        <v>0</v>
      </c>
      <c r="N151" s="170"/>
      <c r="O151" s="170"/>
      <c r="P151" s="170"/>
      <c r="Q151" s="170"/>
    </row>
    <row r="152" spans="3:17" x14ac:dyDescent="0.2">
      <c r="H152" s="30"/>
    </row>
    <row r="153" spans="3:17" x14ac:dyDescent="0.2">
      <c r="C153" s="555" t="s">
        <v>368</v>
      </c>
      <c r="D153" s="26"/>
      <c r="E153" s="26"/>
      <c r="F153" s="27"/>
      <c r="G153" s="27"/>
      <c r="H153" s="28"/>
      <c r="I153" s="29"/>
      <c r="J153" s="30"/>
      <c r="K153" s="30"/>
      <c r="L153" s="30"/>
      <c r="M153" s="31"/>
      <c r="N153" s="172"/>
      <c r="O153" s="172"/>
      <c r="P153" s="172"/>
      <c r="Q153" s="172"/>
    </row>
    <row r="154" spans="3:17" x14ac:dyDescent="0.2">
      <c r="C154" s="554"/>
      <c r="D154" s="33" t="s">
        <v>35</v>
      </c>
      <c r="E154" s="33" t="s">
        <v>14</v>
      </c>
      <c r="F154" s="27"/>
      <c r="G154" s="27"/>
      <c r="H154" s="28"/>
      <c r="I154" s="29"/>
      <c r="J154" s="30"/>
      <c r="K154" s="30"/>
      <c r="L154" s="30"/>
      <c r="M154" s="31"/>
      <c r="N154" s="172"/>
      <c r="O154" s="172"/>
      <c r="P154" s="172"/>
      <c r="Q154" s="172"/>
    </row>
    <row r="155" spans="3:17" x14ac:dyDescent="0.2">
      <c r="C155" s="34" t="s">
        <v>20</v>
      </c>
      <c r="D155" s="141"/>
      <c r="E155" s="35" t="s">
        <v>18</v>
      </c>
      <c r="F155" s="27"/>
      <c r="G155" s="27"/>
      <c r="H155" s="28"/>
      <c r="I155" s="29"/>
      <c r="J155" s="30"/>
      <c r="K155" s="30"/>
      <c r="L155" s="30"/>
      <c r="M155" s="31"/>
      <c r="N155" s="172"/>
      <c r="O155" s="172"/>
      <c r="P155" s="172"/>
      <c r="Q155" s="172"/>
    </row>
    <row r="156" spans="3:17" ht="13.5" thickBot="1" x14ac:dyDescent="0.25">
      <c r="C156" s="34" t="s">
        <v>19</v>
      </c>
      <c r="D156" s="46">
        <f>'Loan Drawdown'!F51</f>
        <v>0</v>
      </c>
      <c r="E156" s="35" t="str">
        <f>'Tariff Inputs'!I65</f>
        <v>KES</v>
      </c>
      <c r="F156" s="27"/>
      <c r="G156" s="27"/>
      <c r="H156" s="28"/>
      <c r="I156" s="29"/>
      <c r="J156" s="30"/>
      <c r="K156" s="30"/>
      <c r="L156" s="30"/>
      <c r="M156" s="31"/>
      <c r="N156" s="172"/>
      <c r="O156" s="172"/>
      <c r="P156" s="172"/>
      <c r="Q156" s="172"/>
    </row>
    <row r="157" spans="3:17" ht="13.5" thickTop="1" x14ac:dyDescent="0.2">
      <c r="D157" s="26"/>
      <c r="E157" s="26"/>
      <c r="F157" s="27"/>
      <c r="G157" s="27"/>
      <c r="H157" s="28"/>
      <c r="I157" s="29"/>
      <c r="J157" s="30"/>
      <c r="K157" s="30"/>
      <c r="L157" s="30"/>
      <c r="M157" s="31"/>
      <c r="N157" s="172"/>
      <c r="O157" s="172"/>
      <c r="P157" s="172"/>
      <c r="Q157" s="172"/>
    </row>
    <row r="158" spans="3:17" x14ac:dyDescent="0.2">
      <c r="C158" s="555" t="s">
        <v>369</v>
      </c>
      <c r="D158" s="26"/>
      <c r="E158" s="26"/>
      <c r="F158" s="27"/>
      <c r="G158" s="27"/>
      <c r="H158" s="28"/>
      <c r="I158" s="29"/>
      <c r="J158" s="30"/>
      <c r="K158" s="30"/>
      <c r="L158" s="30"/>
      <c r="M158" s="31"/>
      <c r="N158" s="172"/>
      <c r="O158" s="172"/>
      <c r="P158" s="172"/>
      <c r="Q158" s="172"/>
    </row>
    <row r="159" spans="3:17" x14ac:dyDescent="0.2">
      <c r="C159" s="554" t="s">
        <v>216</v>
      </c>
      <c r="D159" s="179"/>
      <c r="E159" s="179"/>
      <c r="F159" s="179"/>
      <c r="G159" s="182">
        <f>SUM(D159:F159)</f>
        <v>0</v>
      </c>
      <c r="H159" s="175"/>
      <c r="I159" s="131">
        <f>'Tariff Inputs'!D17</f>
        <v>25</v>
      </c>
      <c r="J159" s="182">
        <f>IF('Tariff Inputs'!$D$21="Yes",IF(I159&gt;0,G159/I159,0),0)</f>
        <v>0</v>
      </c>
      <c r="K159" s="37">
        <f>IF('Tariff Inputs'!$D$22="Yes",IF(I159&gt;0,HLOOKUP('Capital Costs Details'!I159,'Tariff Calculator'!$C$5:$AR$11,7),0),0)</f>
        <v>0</v>
      </c>
      <c r="L159" s="95">
        <f>IF('Tariff Inputs'!$D$22="Yes",IF(K159&gt;0,G159/K159,0),0)</f>
        <v>0</v>
      </c>
    </row>
    <row r="160" spans="3:17" ht="13.5" thickBot="1" x14ac:dyDescent="0.25">
      <c r="C160" s="34" t="s">
        <v>222</v>
      </c>
      <c r="D160" s="46">
        <f>'Loan Repayment'!D10</f>
        <v>0</v>
      </c>
      <c r="E160" s="179"/>
      <c r="F160" s="179"/>
      <c r="G160" s="182">
        <f>SUM(D160:F160)</f>
        <v>0</v>
      </c>
      <c r="H160" s="175"/>
      <c r="I160" s="131">
        <f>'Tariff Inputs'!D17</f>
        <v>25</v>
      </c>
      <c r="J160" s="182">
        <f>IF('Tariff Inputs'!$D$21="Yes",IF(I160&gt;0,G160/I160,0),0)</f>
        <v>0</v>
      </c>
      <c r="K160" s="37">
        <f>IF('Tariff Inputs'!$D$22="Yes",IF(I160&gt;0,HLOOKUP('Capital Costs Details'!I160,'Tariff Calculator'!$C$5:$AR$11,7),0),0)</f>
        <v>0</v>
      </c>
      <c r="L160" s="95">
        <f>IF('Tariff Inputs'!$D$22="Yes",IF(K160&gt;0,G160/K160,0),0)</f>
        <v>0</v>
      </c>
    </row>
    <row r="161" spans="1:301" ht="14.25" thickTop="1" thickBot="1" x14ac:dyDescent="0.25">
      <c r="C161" s="75" t="s">
        <v>239</v>
      </c>
      <c r="D161" s="46">
        <f>'Loan Drawdown'!F51</f>
        <v>0</v>
      </c>
      <c r="E161" s="181"/>
      <c r="F161" s="181"/>
      <c r="G161" s="182">
        <f>SUM(D161:F161)</f>
        <v>0</v>
      </c>
      <c r="H161" s="175"/>
      <c r="I161" s="142">
        <v>20</v>
      </c>
      <c r="J161" s="182">
        <f>IF('Tariff Inputs'!$D$21="Yes",IF(I161&gt;0,G161/I161,0),0)</f>
        <v>0</v>
      </c>
      <c r="K161" s="37">
        <f>IF('Tariff Inputs'!$D$22="Yes",IF(I161&gt;0,HLOOKUP('Capital Costs Details'!I161,'Tariff Calculator'!$C$5:$AR$11,7),0),0)</f>
        <v>0</v>
      </c>
      <c r="L161" s="95">
        <f>IF('Tariff Inputs'!$D$22="Yes",IF(K161&gt;0,G161/K161,0),0)</f>
        <v>0</v>
      </c>
    </row>
    <row r="162" spans="1:301" ht="13.5" thickTop="1" x14ac:dyDescent="0.2">
      <c r="C162" s="34"/>
      <c r="D162" s="181"/>
      <c r="E162" s="181"/>
      <c r="F162" s="181"/>
      <c r="G162" s="182">
        <f>SUM(D162:F162)</f>
        <v>0</v>
      </c>
      <c r="H162" s="175"/>
      <c r="I162" s="142"/>
      <c r="J162" s="182">
        <f>IF('Tariff Inputs'!$D$21="Yes",IF(I162&gt;0,G162/I162,0),0)</f>
        <v>0</v>
      </c>
      <c r="K162" s="37">
        <f>IF('Tariff Inputs'!$D$22="Yes",IF(I162&gt;0,HLOOKUP('Capital Costs Details'!I162,'Tariff Calculator'!$C$5:$AR$11,7),0),0)</f>
        <v>0</v>
      </c>
      <c r="L162" s="95">
        <f>IF('Tariff Inputs'!$D$22="Yes",IF(K162&gt;0,G162/K162,0),0)</f>
        <v>0</v>
      </c>
    </row>
    <row r="163" spans="1:301" x14ac:dyDescent="0.2">
      <c r="C163" s="113" t="s">
        <v>327</v>
      </c>
      <c r="D163" s="182">
        <f>SUM(D159:D162)</f>
        <v>0</v>
      </c>
      <c r="E163" s="182">
        <f t="shared" ref="E163:G163" si="23">SUM(E159:E162)</f>
        <v>0</v>
      </c>
      <c r="F163" s="182">
        <f t="shared" si="23"/>
        <v>0</v>
      </c>
      <c r="G163" s="182">
        <f t="shared" si="23"/>
        <v>0</v>
      </c>
      <c r="H163" s="177"/>
      <c r="I163" s="37"/>
      <c r="J163" s="182">
        <f>SUM(J159:J162)</f>
        <v>0</v>
      </c>
      <c r="K163" s="37"/>
      <c r="L163" s="95">
        <f>SUM(L159:L162)</f>
        <v>0</v>
      </c>
    </row>
    <row r="165" spans="1:301" x14ac:dyDescent="0.2">
      <c r="C165" s="556" t="s">
        <v>370</v>
      </c>
      <c r="H165" s="30"/>
    </row>
    <row r="166" spans="1:301" ht="15" customHeight="1" x14ac:dyDescent="0.2">
      <c r="C166" s="696" t="s">
        <v>499</v>
      </c>
      <c r="D166" s="97" t="s">
        <v>62</v>
      </c>
      <c r="E166" s="90" t="s">
        <v>0</v>
      </c>
      <c r="F166" s="91" t="s">
        <v>12</v>
      </c>
      <c r="G166" s="90" t="s">
        <v>3</v>
      </c>
      <c r="H166" s="176"/>
      <c r="I166" s="33" t="s">
        <v>40</v>
      </c>
      <c r="J166" s="91" t="s">
        <v>48</v>
      </c>
      <c r="K166" s="91" t="s">
        <v>47</v>
      </c>
      <c r="L166" s="91" t="s">
        <v>50</v>
      </c>
      <c r="N166" s="627" t="s">
        <v>591</v>
      </c>
      <c r="O166" s="627" t="s">
        <v>590</v>
      </c>
    </row>
    <row r="167" spans="1:301" x14ac:dyDescent="0.2">
      <c r="C167" s="697"/>
      <c r="D167" s="92" t="s">
        <v>219</v>
      </c>
      <c r="E167" s="92"/>
      <c r="F167" s="93" t="s">
        <v>221</v>
      </c>
      <c r="G167" s="92"/>
      <c r="H167" s="175"/>
      <c r="I167" s="33" t="s">
        <v>41</v>
      </c>
      <c r="J167" s="94" t="s">
        <v>46</v>
      </c>
      <c r="K167" s="98" t="s">
        <v>42</v>
      </c>
      <c r="L167" s="94" t="s">
        <v>46</v>
      </c>
      <c r="N167" s="627"/>
      <c r="O167" s="627"/>
    </row>
    <row r="168" spans="1:301" ht="12" customHeight="1" x14ac:dyDescent="0.25">
      <c r="C168" s="178"/>
      <c r="D168" s="638">
        <v>6</v>
      </c>
      <c r="E168" s="180"/>
      <c r="F168" s="179"/>
      <c r="G168" s="182">
        <f t="shared" ref="G168:G171" si="24">SUM(E168:F168)</f>
        <v>0</v>
      </c>
      <c r="H168" s="175"/>
      <c r="I168" s="141"/>
      <c r="J168" s="183">
        <f>IF('Tariff Inputs'!$D$21="Yes",IF(I168&gt;0,G168/I168,0),0)</f>
        <v>0</v>
      </c>
      <c r="K168" s="37">
        <f>IF('Tariff Inputs'!$D$22="Yes",IF(I168&gt;0,HLOOKUP('Capital Costs Details'!I168,'Tariff Calculator'!$C$5:$AR$11,7),0),0)</f>
        <v>0</v>
      </c>
      <c r="L168" s="95">
        <f>IF('Tariff Inputs'!$D$22="Yes",IF(K168&gt;0,G168/K168,0),0)</f>
        <v>0</v>
      </c>
      <c r="N168" s="631">
        <f>1/(1+'Tariff Inputs'!$H$86)^'Capital Costs Details'!D168</f>
        <v>1</v>
      </c>
      <c r="O168" s="628">
        <f>N168*G168</f>
        <v>0</v>
      </c>
    </row>
    <row r="169" spans="1:301" ht="15" x14ac:dyDescent="0.25">
      <c r="C169" s="178"/>
      <c r="D169" s="638">
        <f>D168+1</f>
        <v>7</v>
      </c>
      <c r="E169" s="180"/>
      <c r="F169" s="179"/>
      <c r="G169" s="182">
        <f t="shared" si="24"/>
        <v>0</v>
      </c>
      <c r="H169" s="175"/>
      <c r="I169" s="141"/>
      <c r="J169" s="183">
        <f>IF('Tariff Inputs'!$D$21="Yes",IF(I169&gt;0,G169/I169,0),0)</f>
        <v>0</v>
      </c>
      <c r="K169" s="37">
        <f>IF('Tariff Inputs'!$D$22="Yes",IF(I169&gt;0,HLOOKUP('Capital Costs Details'!I169,'Tariff Calculator'!$C$5:$AR$11,7),0),0)</f>
        <v>0</v>
      </c>
      <c r="L169" s="95">
        <f>IF('Tariff Inputs'!$D$22="Yes",IF(K169&gt;0,G169/K169,0),0)</f>
        <v>0</v>
      </c>
      <c r="N169" s="631">
        <f>1/(1+'Tariff Inputs'!$H$86)^'Capital Costs Details'!D169</f>
        <v>1</v>
      </c>
      <c r="O169" s="628">
        <f t="shared" ref="O169:O187" si="25">N169*G169</f>
        <v>0</v>
      </c>
    </row>
    <row r="170" spans="1:301" ht="15" x14ac:dyDescent="0.25">
      <c r="C170" s="178"/>
      <c r="D170" s="638">
        <f t="shared" ref="D170:D183" si="26">D169+1</f>
        <v>8</v>
      </c>
      <c r="E170" s="180"/>
      <c r="F170" s="179"/>
      <c r="G170" s="182">
        <f t="shared" si="24"/>
        <v>0</v>
      </c>
      <c r="H170" s="175"/>
      <c r="I170" s="141"/>
      <c r="J170" s="183">
        <f>IF('Tariff Inputs'!$D$21="Yes",IF(I170&gt;0,G170/I170,0),0)</f>
        <v>0</v>
      </c>
      <c r="K170" s="37">
        <f>IF('Tariff Inputs'!$D$22="Yes",IF(I170&gt;0,HLOOKUP('Capital Costs Details'!I170,'Tariff Calculator'!$C$5:$AR$11,7),0),0)</f>
        <v>0</v>
      </c>
      <c r="L170" s="95">
        <f>IF('Tariff Inputs'!$D$22="Yes",IF(K170&gt;0,G170/K170,0),0)</f>
        <v>0</v>
      </c>
      <c r="N170" s="631">
        <f>1/(1+'Tariff Inputs'!$H$86)^'Capital Costs Details'!D170</f>
        <v>1</v>
      </c>
      <c r="O170" s="628">
        <f t="shared" si="25"/>
        <v>0</v>
      </c>
    </row>
    <row r="171" spans="1:301" ht="15" x14ac:dyDescent="0.25">
      <c r="C171" s="178"/>
      <c r="D171" s="638">
        <f t="shared" si="26"/>
        <v>9</v>
      </c>
      <c r="E171" s="179"/>
      <c r="F171" s="179"/>
      <c r="G171" s="182">
        <f t="shared" si="24"/>
        <v>0</v>
      </c>
      <c r="H171" s="175"/>
      <c r="I171" s="141"/>
      <c r="J171" s="183">
        <f>IF('Tariff Inputs'!$D$21="Yes",IF(I171&gt;0,G171/I171,0),0)</f>
        <v>0</v>
      </c>
      <c r="K171" s="37">
        <f>IF('Tariff Inputs'!$D$22="Yes",IF(I171&gt;0,HLOOKUP('Capital Costs Details'!I171,'Tariff Calculator'!$C$5:$AR$11,7),0),0)</f>
        <v>0</v>
      </c>
      <c r="L171" s="95">
        <f>IF('Tariff Inputs'!$D$22="Yes",IF(K171&gt;0,G171/K171,0),0)</f>
        <v>0</v>
      </c>
      <c r="N171" s="631">
        <f>1/(1+'Tariff Inputs'!$H$86)^'Capital Costs Details'!D171</f>
        <v>1</v>
      </c>
      <c r="O171" s="628">
        <f t="shared" si="25"/>
        <v>0</v>
      </c>
    </row>
    <row r="172" spans="1:301" ht="15" x14ac:dyDescent="0.25">
      <c r="C172" s="178"/>
      <c r="D172" s="638">
        <f t="shared" si="26"/>
        <v>10</v>
      </c>
      <c r="E172" s="179"/>
      <c r="F172" s="179"/>
      <c r="G172" s="182">
        <f t="shared" ref="G172:G184" si="27">SUM(E172:F172)</f>
        <v>0</v>
      </c>
      <c r="H172" s="175"/>
      <c r="I172" s="141"/>
      <c r="J172" s="183">
        <f>IF('Tariff Inputs'!$D$21="Yes",IF(I172&gt;0,G172/I172,0),0)</f>
        <v>0</v>
      </c>
      <c r="K172" s="37">
        <f>IF('Tariff Inputs'!$D$22="Yes",IF(I172&gt;0,HLOOKUP('Capital Costs Details'!I172,'Tariff Calculator'!$C$5:$AR$11,7),0),0)</f>
        <v>0</v>
      </c>
      <c r="L172" s="95">
        <f>IF('Tariff Inputs'!$D$22="Yes",IF(K172&gt;0,G172/K172,0),0)</f>
        <v>0</v>
      </c>
      <c r="N172" s="631">
        <f>1/(1+'Tariff Inputs'!$H$86)^'Capital Costs Details'!D172</f>
        <v>1</v>
      </c>
      <c r="O172" s="628">
        <f t="shared" si="25"/>
        <v>0</v>
      </c>
    </row>
    <row r="173" spans="1:301" ht="15" x14ac:dyDescent="0.25">
      <c r="C173" s="178" t="s">
        <v>220</v>
      </c>
      <c r="D173" s="638">
        <f t="shared" si="26"/>
        <v>11</v>
      </c>
      <c r="E173" s="179"/>
      <c r="F173" s="179"/>
      <c r="G173" s="182">
        <f t="shared" si="27"/>
        <v>0</v>
      </c>
      <c r="H173" s="175"/>
      <c r="I173" s="141">
        <v>10</v>
      </c>
      <c r="J173" s="183">
        <f>IF('Tariff Inputs'!$D$21="Yes",IF(I173&gt;0,G173/I173,0),0)</f>
        <v>0</v>
      </c>
      <c r="K173" s="37">
        <f>IF('Tariff Inputs'!$D$22="Yes",IF(I173&gt;0,HLOOKUP('Capital Costs Details'!I173,'Tariff Calculator'!$C$5:$AR$11,7),0),0)</f>
        <v>0</v>
      </c>
      <c r="L173" s="95">
        <f>IF('Tariff Inputs'!$D$22="Yes",IF(K173&gt;0,G173/K173,0),0)</f>
        <v>0</v>
      </c>
      <c r="N173" s="631">
        <f>1/(1+'Tariff Inputs'!$H$86)^'Capital Costs Details'!D173</f>
        <v>1</v>
      </c>
      <c r="O173" s="628">
        <f t="shared" si="25"/>
        <v>0</v>
      </c>
    </row>
    <row r="174" spans="1:301" ht="15" x14ac:dyDescent="0.25">
      <c r="C174" s="178"/>
      <c r="D174" s="638">
        <f t="shared" si="26"/>
        <v>12</v>
      </c>
      <c r="E174" s="179"/>
      <c r="F174" s="179"/>
      <c r="G174" s="182">
        <f t="shared" si="27"/>
        <v>0</v>
      </c>
      <c r="H174" s="175"/>
      <c r="I174" s="141"/>
      <c r="J174" s="183">
        <f>IF('Tariff Inputs'!$D$21="Yes",IF(I174&gt;0,G174/I174,0),0)</f>
        <v>0</v>
      </c>
      <c r="K174" s="37">
        <f>IF('Tariff Inputs'!$D$22="Yes",IF(I174&gt;0,HLOOKUP('Capital Costs Details'!I174,'Tariff Calculator'!$C$5:$AR$11,7),0),0)</f>
        <v>0</v>
      </c>
      <c r="L174" s="95">
        <f>IF('Tariff Inputs'!$D$22="Yes",IF(K174&gt;0,G174/K174,0),0)</f>
        <v>0</v>
      </c>
      <c r="N174" s="631">
        <f>1/(1+'Tariff Inputs'!$H$86)^'Capital Costs Details'!D174</f>
        <v>1</v>
      </c>
      <c r="O174" s="628">
        <f t="shared" si="25"/>
        <v>0</v>
      </c>
    </row>
    <row r="175" spans="1:301" ht="15" x14ac:dyDescent="0.25">
      <c r="C175" s="178"/>
      <c r="D175" s="638">
        <f t="shared" si="26"/>
        <v>13</v>
      </c>
      <c r="E175" s="179"/>
      <c r="F175" s="179"/>
      <c r="G175" s="182">
        <f t="shared" si="27"/>
        <v>0</v>
      </c>
      <c r="H175" s="175"/>
      <c r="I175" s="141"/>
      <c r="J175" s="183">
        <f>IF('Tariff Inputs'!$D$21="Yes",IF(I175&gt;0,G175/I175,0),0)</f>
        <v>0</v>
      </c>
      <c r="K175" s="37">
        <f>IF('Tariff Inputs'!$D$22="Yes",IF(I175&gt;0,HLOOKUP('Capital Costs Details'!I175,'Tariff Calculator'!$C$5:$AR$11,7),0),0)</f>
        <v>0</v>
      </c>
      <c r="L175" s="95">
        <f>IF('Tariff Inputs'!$D$22="Yes",IF(K175&gt;0,G175/K175,0),0)</f>
        <v>0</v>
      </c>
      <c r="N175" s="631">
        <f>1/(1+'Tariff Inputs'!$H$86)^'Capital Costs Details'!D175</f>
        <v>1</v>
      </c>
      <c r="O175" s="628">
        <f t="shared" si="25"/>
        <v>0</v>
      </c>
    </row>
    <row r="176" spans="1:301" s="25" customFormat="1" ht="15" x14ac:dyDescent="0.25">
      <c r="A176" s="171"/>
      <c r="C176" s="178"/>
      <c r="D176" s="638">
        <f t="shared" si="26"/>
        <v>14</v>
      </c>
      <c r="E176" s="179"/>
      <c r="F176" s="179"/>
      <c r="G176" s="182">
        <f t="shared" si="27"/>
        <v>0</v>
      </c>
      <c r="H176" s="175"/>
      <c r="I176" s="141"/>
      <c r="J176" s="183">
        <f>IF('Tariff Inputs'!$D$21="Yes",IF(I176&gt;0,G176/I176,0),0)</f>
        <v>0</v>
      </c>
      <c r="K176" s="37">
        <f>IF('Tariff Inputs'!$D$22="Yes",IF(I176&gt;0,HLOOKUP('Capital Costs Details'!I176,'Tariff Calculator'!$C$5:$AR$11,7),0),0)</f>
        <v>0</v>
      </c>
      <c r="L176" s="95">
        <f>IF('Tariff Inputs'!$D$22="Yes",IF(K176&gt;0,G176/K176,0),0)</f>
        <v>0</v>
      </c>
      <c r="N176" s="631">
        <f>1/(1+'Tariff Inputs'!$H$86)^'Capital Costs Details'!D176</f>
        <v>1</v>
      </c>
      <c r="O176" s="628">
        <f t="shared" si="25"/>
        <v>0</v>
      </c>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c r="AV176" s="171"/>
      <c r="AW176" s="171"/>
      <c r="AX176" s="171"/>
      <c r="AY176" s="171"/>
      <c r="AZ176" s="171"/>
      <c r="BA176" s="171"/>
      <c r="BB176" s="171"/>
      <c r="BC176" s="171"/>
      <c r="BD176" s="171"/>
      <c r="BE176" s="171"/>
      <c r="BF176" s="171"/>
      <c r="BG176" s="171"/>
      <c r="BH176" s="171"/>
      <c r="BI176" s="171"/>
      <c r="BJ176" s="171"/>
      <c r="BK176" s="171"/>
      <c r="BL176" s="171"/>
      <c r="BM176" s="171"/>
      <c r="BN176" s="171"/>
      <c r="BO176" s="171"/>
      <c r="BP176" s="171"/>
      <c r="BQ176" s="171"/>
      <c r="BR176" s="171"/>
      <c r="BS176" s="171"/>
      <c r="BT176" s="171"/>
      <c r="BU176" s="171"/>
      <c r="BV176" s="171"/>
      <c r="BW176" s="171"/>
      <c r="BX176" s="171"/>
      <c r="BY176" s="171"/>
      <c r="BZ176" s="171"/>
      <c r="CA176" s="171"/>
      <c r="CB176" s="171"/>
      <c r="CC176" s="171"/>
      <c r="CD176" s="171"/>
      <c r="CE176" s="171"/>
      <c r="CF176" s="171"/>
      <c r="CG176" s="171"/>
      <c r="CH176" s="171"/>
      <c r="CI176" s="171"/>
      <c r="CJ176" s="171"/>
      <c r="CK176" s="171"/>
      <c r="CL176" s="171"/>
      <c r="CM176" s="171"/>
      <c r="CN176" s="171"/>
      <c r="CO176" s="171"/>
      <c r="CP176" s="171"/>
      <c r="CQ176" s="171"/>
      <c r="CR176" s="171"/>
      <c r="CS176" s="171"/>
      <c r="CT176" s="171"/>
      <c r="CU176" s="171"/>
      <c r="CV176" s="171"/>
      <c r="CW176" s="171"/>
      <c r="CX176" s="171"/>
      <c r="CY176" s="171"/>
      <c r="CZ176" s="171"/>
      <c r="DA176" s="171"/>
      <c r="DB176" s="171"/>
      <c r="DC176" s="171"/>
      <c r="DD176" s="171"/>
      <c r="DE176" s="171"/>
      <c r="DF176" s="171"/>
      <c r="DG176" s="171"/>
      <c r="DH176" s="171"/>
      <c r="DI176" s="171"/>
      <c r="DJ176" s="171"/>
      <c r="DK176" s="171"/>
      <c r="DL176" s="171"/>
      <c r="DM176" s="171"/>
      <c r="DN176" s="171"/>
      <c r="DO176" s="171"/>
      <c r="DP176" s="171"/>
      <c r="DQ176" s="171"/>
      <c r="DR176" s="171"/>
      <c r="DS176" s="171"/>
      <c r="DT176" s="171"/>
      <c r="DU176" s="171"/>
      <c r="DV176" s="171"/>
      <c r="DW176" s="171"/>
      <c r="DX176" s="171"/>
      <c r="DY176" s="171"/>
      <c r="DZ176" s="171"/>
      <c r="EA176" s="171"/>
      <c r="EB176" s="171"/>
      <c r="EC176" s="171"/>
      <c r="ED176" s="171"/>
      <c r="EE176" s="171"/>
      <c r="EF176" s="171"/>
      <c r="EG176" s="171"/>
      <c r="EH176" s="171"/>
      <c r="EI176" s="171"/>
      <c r="EJ176" s="171"/>
      <c r="EK176" s="171"/>
      <c r="EL176" s="171"/>
      <c r="EM176" s="171"/>
      <c r="EN176" s="171"/>
      <c r="EO176" s="171"/>
      <c r="EP176" s="171"/>
      <c r="EQ176" s="171"/>
      <c r="ER176" s="171"/>
      <c r="ES176" s="171"/>
      <c r="ET176" s="171"/>
      <c r="EU176" s="171"/>
      <c r="EV176" s="171"/>
      <c r="EW176" s="171"/>
      <c r="EX176" s="171"/>
      <c r="EY176" s="171"/>
      <c r="EZ176" s="171"/>
      <c r="FA176" s="171"/>
      <c r="FB176" s="171"/>
      <c r="FC176" s="171"/>
      <c r="FD176" s="171"/>
      <c r="FE176" s="171"/>
      <c r="FF176" s="171"/>
      <c r="FG176" s="171"/>
      <c r="FH176" s="171"/>
      <c r="FI176" s="171"/>
      <c r="FJ176" s="171"/>
      <c r="FK176" s="171"/>
      <c r="FL176" s="171"/>
      <c r="FM176" s="171"/>
      <c r="FN176" s="171"/>
      <c r="FO176" s="171"/>
      <c r="FP176" s="171"/>
      <c r="FQ176" s="171"/>
      <c r="FR176" s="171"/>
      <c r="FS176" s="171"/>
      <c r="FT176" s="171"/>
      <c r="FU176" s="171"/>
      <c r="FV176" s="171"/>
      <c r="FW176" s="171"/>
      <c r="FX176" s="171"/>
      <c r="FY176" s="171"/>
      <c r="FZ176" s="171"/>
      <c r="GA176" s="171"/>
      <c r="GB176" s="171"/>
      <c r="GC176" s="171"/>
      <c r="GD176" s="171"/>
      <c r="GE176" s="171"/>
      <c r="GF176" s="171"/>
      <c r="GG176" s="171"/>
      <c r="GH176" s="171"/>
      <c r="GI176" s="171"/>
      <c r="GJ176" s="171"/>
      <c r="GK176" s="171"/>
      <c r="GL176" s="171"/>
      <c r="GM176" s="171"/>
      <c r="GN176" s="171"/>
      <c r="GO176" s="171"/>
      <c r="GP176" s="171"/>
      <c r="GQ176" s="171"/>
      <c r="GR176" s="171"/>
      <c r="GS176" s="171"/>
      <c r="GT176" s="171"/>
      <c r="GU176" s="171"/>
      <c r="GV176" s="171"/>
      <c r="GW176" s="171"/>
      <c r="GX176" s="171"/>
      <c r="GY176" s="171"/>
      <c r="GZ176" s="171"/>
      <c r="HA176" s="171"/>
      <c r="HB176" s="171"/>
      <c r="HC176" s="171"/>
      <c r="HD176" s="171"/>
      <c r="HE176" s="171"/>
      <c r="HF176" s="171"/>
      <c r="HG176" s="171"/>
      <c r="HH176" s="171"/>
      <c r="HI176" s="171"/>
      <c r="HJ176" s="171"/>
      <c r="HK176" s="171"/>
      <c r="HL176" s="171"/>
      <c r="HM176" s="171"/>
      <c r="HN176" s="171"/>
      <c r="HO176" s="171"/>
      <c r="HP176" s="171"/>
      <c r="HQ176" s="171"/>
      <c r="HR176" s="171"/>
      <c r="HS176" s="171"/>
      <c r="HT176" s="171"/>
      <c r="HU176" s="171"/>
      <c r="HV176" s="171"/>
      <c r="HW176" s="171"/>
      <c r="HX176" s="171"/>
      <c r="HY176" s="171"/>
      <c r="HZ176" s="171"/>
      <c r="IA176" s="171"/>
      <c r="IB176" s="171"/>
      <c r="IC176" s="171"/>
      <c r="ID176" s="171"/>
      <c r="IE176" s="171"/>
      <c r="IF176" s="171"/>
      <c r="IG176" s="171"/>
      <c r="IH176" s="171"/>
      <c r="II176" s="171"/>
      <c r="IJ176" s="171"/>
      <c r="IK176" s="171"/>
      <c r="IL176" s="171"/>
      <c r="IM176" s="171"/>
      <c r="IN176" s="171"/>
      <c r="IO176" s="171"/>
      <c r="IP176" s="171"/>
      <c r="IQ176" s="171"/>
      <c r="IR176" s="171"/>
      <c r="IS176" s="171"/>
      <c r="IT176" s="171"/>
      <c r="IU176" s="171"/>
      <c r="IV176" s="171"/>
      <c r="IW176" s="171"/>
      <c r="IX176" s="171"/>
      <c r="IY176" s="171"/>
      <c r="IZ176" s="171"/>
      <c r="JA176" s="171"/>
      <c r="JB176" s="171"/>
      <c r="JC176" s="171"/>
      <c r="JD176" s="171"/>
      <c r="JE176" s="171"/>
      <c r="JF176" s="171"/>
      <c r="JG176" s="171"/>
      <c r="JH176" s="171"/>
      <c r="JI176" s="171"/>
      <c r="JJ176" s="171"/>
      <c r="JK176" s="171"/>
      <c r="JL176" s="171"/>
      <c r="JM176" s="171"/>
      <c r="JN176" s="171"/>
      <c r="JO176" s="171"/>
      <c r="JP176" s="171"/>
      <c r="JQ176" s="171"/>
      <c r="JR176" s="171"/>
      <c r="JS176" s="171"/>
      <c r="JT176" s="171"/>
      <c r="JU176" s="171"/>
      <c r="JV176" s="171"/>
      <c r="JW176" s="171"/>
      <c r="JX176" s="171"/>
      <c r="JY176" s="171"/>
      <c r="JZ176" s="171"/>
      <c r="KA176" s="171"/>
      <c r="KB176" s="171"/>
      <c r="KC176" s="171"/>
      <c r="KD176" s="171"/>
      <c r="KE176" s="171"/>
      <c r="KF176" s="171"/>
      <c r="KG176" s="171"/>
      <c r="KH176" s="171"/>
      <c r="KI176" s="171"/>
      <c r="KJ176" s="171"/>
      <c r="KK176" s="171"/>
      <c r="KL176" s="171"/>
      <c r="KM176" s="171"/>
      <c r="KN176" s="171"/>
      <c r="KO176" s="171"/>
    </row>
    <row r="177" spans="3:15" ht="15" x14ac:dyDescent="0.25">
      <c r="C177" s="178"/>
      <c r="D177" s="638">
        <f t="shared" si="26"/>
        <v>15</v>
      </c>
      <c r="E177" s="179"/>
      <c r="F177" s="179"/>
      <c r="G177" s="182">
        <f t="shared" si="27"/>
        <v>0</v>
      </c>
      <c r="H177" s="175"/>
      <c r="I177" s="141"/>
      <c r="J177" s="183">
        <f>IF('Tariff Inputs'!$D$21="Yes",IF(I177&gt;0,G177/I177,0),0)</f>
        <v>0</v>
      </c>
      <c r="K177" s="37">
        <f>IF('Tariff Inputs'!$D$22="Yes",IF(I177&gt;0,HLOOKUP('Capital Costs Details'!I177,'Tariff Calculator'!$C$5:$AR$11,7),0),0)</f>
        <v>0</v>
      </c>
      <c r="L177" s="95">
        <f>IF('Tariff Inputs'!$D$22="Yes",IF(K177&gt;0,G177/K177,0),0)</f>
        <v>0</v>
      </c>
      <c r="N177" s="631">
        <f>1/(1+'Tariff Inputs'!$H$86)^'Capital Costs Details'!D177</f>
        <v>1</v>
      </c>
      <c r="O177" s="628">
        <f t="shared" si="25"/>
        <v>0</v>
      </c>
    </row>
    <row r="178" spans="3:15" ht="15" x14ac:dyDescent="0.25">
      <c r="C178" s="178" t="s">
        <v>2</v>
      </c>
      <c r="D178" s="638">
        <f t="shared" si="26"/>
        <v>16</v>
      </c>
      <c r="E178" s="179"/>
      <c r="F178" s="179"/>
      <c r="G178" s="182">
        <f t="shared" si="27"/>
        <v>0</v>
      </c>
      <c r="H178" s="175"/>
      <c r="I178" s="141">
        <v>15</v>
      </c>
      <c r="J178" s="183">
        <f>IF('Tariff Inputs'!$D$21="Yes",IF(I178&gt;0,G178/I178,0),0)</f>
        <v>0</v>
      </c>
      <c r="K178" s="37">
        <f>IF('Tariff Inputs'!$D$22="Yes",IF(I178&gt;0,HLOOKUP('Capital Costs Details'!I178,'Tariff Calculator'!$C$5:$AR$11,7),0),0)</f>
        <v>0</v>
      </c>
      <c r="L178" s="95">
        <f>IF('Tariff Inputs'!$D$22="Yes",IF(K178&gt;0,G178/K178,0),0)</f>
        <v>0</v>
      </c>
      <c r="N178" s="631">
        <f>1/(1+'Tariff Inputs'!$H$86)^'Capital Costs Details'!D178</f>
        <v>1</v>
      </c>
      <c r="O178" s="628">
        <f t="shared" si="25"/>
        <v>0</v>
      </c>
    </row>
    <row r="179" spans="3:15" ht="15" x14ac:dyDescent="0.25">
      <c r="C179" s="178"/>
      <c r="D179" s="638">
        <f t="shared" si="26"/>
        <v>17</v>
      </c>
      <c r="E179" s="179"/>
      <c r="F179" s="179"/>
      <c r="G179" s="182">
        <f t="shared" si="27"/>
        <v>0</v>
      </c>
      <c r="H179" s="175"/>
      <c r="I179" s="141"/>
      <c r="J179" s="183">
        <f>IF('Tariff Inputs'!$D$21="Yes",IF(I179&gt;0,G179/I179,0),0)</f>
        <v>0</v>
      </c>
      <c r="K179" s="37">
        <f>IF('Tariff Inputs'!$D$22="Yes",IF(I179&gt;0,HLOOKUP('Capital Costs Details'!I179,'Tariff Calculator'!$C$5:$AR$11,7),0),0)</f>
        <v>0</v>
      </c>
      <c r="L179" s="95">
        <f>IF('Tariff Inputs'!$D$22="Yes",IF(K179&gt;0,G179/K179,0),0)</f>
        <v>0</v>
      </c>
      <c r="N179" s="631">
        <f>1/(1+'Tariff Inputs'!$H$86)^'Capital Costs Details'!D179</f>
        <v>1</v>
      </c>
      <c r="O179" s="628">
        <f t="shared" si="25"/>
        <v>0</v>
      </c>
    </row>
    <row r="180" spans="3:15" ht="15" x14ac:dyDescent="0.25">
      <c r="C180" s="178"/>
      <c r="D180" s="638">
        <f t="shared" si="26"/>
        <v>18</v>
      </c>
      <c r="E180" s="179"/>
      <c r="F180" s="179"/>
      <c r="G180" s="182">
        <f t="shared" si="27"/>
        <v>0</v>
      </c>
      <c r="H180" s="175"/>
      <c r="I180" s="141"/>
      <c r="J180" s="183">
        <f>IF('Tariff Inputs'!$D$21="Yes",IF(I180&gt;0,G180/I180,0),0)</f>
        <v>0</v>
      </c>
      <c r="K180" s="37">
        <f>IF('Tariff Inputs'!$D$22="Yes",IF(I180&gt;0,HLOOKUP('Capital Costs Details'!I180,'Tariff Calculator'!$C$5:$AR$11,7),0),0)</f>
        <v>0</v>
      </c>
      <c r="L180" s="95">
        <f>IF('Tariff Inputs'!$D$22="Yes",IF(K180&gt;0,G180/K180,0),0)</f>
        <v>0</v>
      </c>
      <c r="N180" s="631">
        <f>1/(1+'Tariff Inputs'!$H$86)^'Capital Costs Details'!D180</f>
        <v>1</v>
      </c>
      <c r="O180" s="628">
        <f t="shared" si="25"/>
        <v>0</v>
      </c>
    </row>
    <row r="181" spans="3:15" ht="15" x14ac:dyDescent="0.25">
      <c r="C181" s="178"/>
      <c r="D181" s="638">
        <f t="shared" si="26"/>
        <v>19</v>
      </c>
      <c r="E181" s="179"/>
      <c r="F181" s="179"/>
      <c r="G181" s="182">
        <f t="shared" si="27"/>
        <v>0</v>
      </c>
      <c r="H181" s="175"/>
      <c r="I181" s="141"/>
      <c r="J181" s="183">
        <f>IF('Tariff Inputs'!$D$21="Yes",IF(I181&gt;0,G181/I181,0),0)</f>
        <v>0</v>
      </c>
      <c r="K181" s="37">
        <f>IF('Tariff Inputs'!$D$22="Yes",IF(I181&gt;0,HLOOKUP('Capital Costs Details'!I181,'Tariff Calculator'!$C$5:$AR$11,7),0),0)</f>
        <v>0</v>
      </c>
      <c r="L181" s="95">
        <f>IF('Tariff Inputs'!$D$22="Yes",IF(K181&gt;0,G181/K181,0),0)</f>
        <v>0</v>
      </c>
      <c r="N181" s="631">
        <f>1/(1+'Tariff Inputs'!$H$86)^'Capital Costs Details'!D181</f>
        <v>1</v>
      </c>
      <c r="O181" s="628">
        <f t="shared" si="25"/>
        <v>0</v>
      </c>
    </row>
    <row r="182" spans="3:15" ht="15" x14ac:dyDescent="0.25">
      <c r="C182" s="178"/>
      <c r="D182" s="638">
        <f t="shared" si="26"/>
        <v>20</v>
      </c>
      <c r="E182" s="179"/>
      <c r="F182" s="179"/>
      <c r="G182" s="182">
        <f t="shared" si="27"/>
        <v>0</v>
      </c>
      <c r="H182" s="175"/>
      <c r="I182" s="141">
        <v>10</v>
      </c>
      <c r="J182" s="183">
        <f>IF('Tariff Inputs'!$D$21="Yes",IF(I182&gt;0,G182/I182,0),0)</f>
        <v>0</v>
      </c>
      <c r="K182" s="37">
        <f>IF('Tariff Inputs'!$D$22="Yes",IF(I182&gt;0,HLOOKUP('Capital Costs Details'!I182,'Tariff Calculator'!$C$5:$AR$11,7),0),0)</f>
        <v>0</v>
      </c>
      <c r="L182" s="95">
        <f>IF('Tariff Inputs'!$D$22="Yes",IF(K182&gt;0,G182/K182,0),0)</f>
        <v>0</v>
      </c>
      <c r="N182" s="631">
        <f>1/(1+'Tariff Inputs'!$H$86)^'Capital Costs Details'!D182</f>
        <v>1</v>
      </c>
      <c r="O182" s="628">
        <f t="shared" si="25"/>
        <v>0</v>
      </c>
    </row>
    <row r="183" spans="3:15" ht="15" x14ac:dyDescent="0.25">
      <c r="C183" s="178"/>
      <c r="D183" s="638">
        <f t="shared" si="26"/>
        <v>21</v>
      </c>
      <c r="E183" s="179"/>
      <c r="F183" s="179"/>
      <c r="G183" s="182">
        <f t="shared" si="27"/>
        <v>0</v>
      </c>
      <c r="H183" s="175"/>
      <c r="I183" s="141"/>
      <c r="J183" s="183">
        <f>IF('Tariff Inputs'!$D$21="Yes",IF(I183&gt;0,G183/I183,0),0)</f>
        <v>0</v>
      </c>
      <c r="K183" s="37">
        <f>IF('Tariff Inputs'!$D$22="Yes",IF(I183&gt;0,HLOOKUP('Capital Costs Details'!I183,'Tariff Calculator'!$C$5:$AR$11,7),0),0)</f>
        <v>0</v>
      </c>
      <c r="L183" s="95">
        <f>IF('Tariff Inputs'!$D$22="Yes",IF(K183&gt;0,G183/K183,0),0)</f>
        <v>0</v>
      </c>
      <c r="N183" s="631">
        <f>1/(1+'Tariff Inputs'!$H$86)^'Capital Costs Details'!D183</f>
        <v>1</v>
      </c>
      <c r="O183" s="628">
        <f t="shared" si="25"/>
        <v>0</v>
      </c>
    </row>
    <row r="184" spans="3:15" ht="15" x14ac:dyDescent="0.25">
      <c r="C184" s="178"/>
      <c r="D184" s="638">
        <f t="shared" ref="D184:D187" si="28">D183+1</f>
        <v>22</v>
      </c>
      <c r="E184" s="179"/>
      <c r="F184" s="179"/>
      <c r="G184" s="182">
        <f t="shared" si="27"/>
        <v>0</v>
      </c>
      <c r="H184" s="175"/>
      <c r="I184" s="141"/>
      <c r="J184" s="183">
        <f>IF('Tariff Inputs'!$D$21="Yes",IF(I184&gt;0,G184/I184,0),0)</f>
        <v>0</v>
      </c>
      <c r="K184" s="37">
        <f>IF('Tariff Inputs'!$D$22="Yes",IF(I184&gt;0,HLOOKUP('Capital Costs Details'!I184,'Tariff Calculator'!$C$5:$AR$11,7),0),0)</f>
        <v>0</v>
      </c>
      <c r="L184" s="95">
        <f>IF('Tariff Inputs'!$D$22="Yes",IF(K184&gt;0,G184/K184,0),0)</f>
        <v>0</v>
      </c>
      <c r="N184" s="631">
        <f>1/(1+'Tariff Inputs'!$H$86)^'Capital Costs Details'!D184</f>
        <v>1</v>
      </c>
      <c r="O184" s="628">
        <f t="shared" si="25"/>
        <v>0</v>
      </c>
    </row>
    <row r="185" spans="3:15" ht="15" x14ac:dyDescent="0.25">
      <c r="C185" s="178"/>
      <c r="D185" s="638">
        <f t="shared" si="28"/>
        <v>23</v>
      </c>
      <c r="E185" s="179"/>
      <c r="F185" s="179"/>
      <c r="G185" s="182">
        <f t="shared" ref="G185:G187" si="29">SUM(E185:F185)</f>
        <v>0</v>
      </c>
      <c r="H185" s="175"/>
      <c r="I185" s="141"/>
      <c r="J185" s="183">
        <f>IF('Tariff Inputs'!$D$21="Yes",IF(I185&gt;0,G185/I185,0),0)</f>
        <v>0</v>
      </c>
      <c r="K185" s="37">
        <f>IF('Tariff Inputs'!$D$22="Yes",IF(I185&gt;0,HLOOKUP('Capital Costs Details'!I185,'Tariff Calculator'!$C$5:$AR$11,7),0),0)</f>
        <v>0</v>
      </c>
      <c r="L185" s="95">
        <f>IF('Tariff Inputs'!$D$22="Yes",IF(K185&gt;0,G185/K185,0),0)</f>
        <v>0</v>
      </c>
      <c r="N185" s="631">
        <f>1/(1+'Tariff Inputs'!$H$86)^'Capital Costs Details'!D185</f>
        <v>1</v>
      </c>
      <c r="O185" s="628">
        <f t="shared" si="25"/>
        <v>0</v>
      </c>
    </row>
    <row r="186" spans="3:15" ht="15" x14ac:dyDescent="0.25">
      <c r="C186" s="178"/>
      <c r="D186" s="638">
        <f t="shared" si="28"/>
        <v>24</v>
      </c>
      <c r="E186" s="179"/>
      <c r="F186" s="179"/>
      <c r="G186" s="182">
        <f t="shared" si="29"/>
        <v>0</v>
      </c>
      <c r="H186" s="175"/>
      <c r="I186" s="141"/>
      <c r="J186" s="183">
        <f>IF('Tariff Inputs'!$D$21="Yes",IF(I186&gt;0,G186/I186,0),0)</f>
        <v>0</v>
      </c>
      <c r="K186" s="37">
        <f>IF('Tariff Inputs'!$D$22="Yes",IF(I186&gt;0,HLOOKUP('Capital Costs Details'!I186,'Tariff Calculator'!$C$5:$AR$11,7),0),0)</f>
        <v>0</v>
      </c>
      <c r="L186" s="95">
        <f>IF('Tariff Inputs'!$D$22="Yes",IF(K186&gt;0,G186/K186,0),0)</f>
        <v>0</v>
      </c>
      <c r="N186" s="631">
        <f>1/(1+'Tariff Inputs'!$H$86)^'Capital Costs Details'!D186</f>
        <v>1</v>
      </c>
      <c r="O186" s="628">
        <f t="shared" si="25"/>
        <v>0</v>
      </c>
    </row>
    <row r="187" spans="3:15" s="26" customFormat="1" ht="15" x14ac:dyDescent="0.25">
      <c r="C187" s="178"/>
      <c r="D187" s="638">
        <f t="shared" si="28"/>
        <v>25</v>
      </c>
      <c r="E187" s="179"/>
      <c r="F187" s="179"/>
      <c r="G187" s="182">
        <f t="shared" si="29"/>
        <v>0</v>
      </c>
      <c r="H187" s="175"/>
      <c r="I187" s="141"/>
      <c r="J187" s="183">
        <f>IF('Tariff Inputs'!$D$21="Yes",IF(I187&gt;0,G187/I187,0),0)</f>
        <v>0</v>
      </c>
      <c r="K187" s="37">
        <f>IF('Tariff Inputs'!$D$22="Yes",IF(I187&gt;0,HLOOKUP('Capital Costs Details'!I187,'Tariff Calculator'!$C$5:$AR$11,7),0),0)</f>
        <v>0</v>
      </c>
      <c r="L187" s="95">
        <f>IF('Tariff Inputs'!$D$22="Yes",IF(K187&gt;0,G187/K187,0),0)</f>
        <v>0</v>
      </c>
      <c r="N187" s="631">
        <f>1/(1+'Tariff Inputs'!$H$86)^'Capital Costs Details'!D187</f>
        <v>1</v>
      </c>
      <c r="O187" s="628">
        <f t="shared" si="25"/>
        <v>0</v>
      </c>
    </row>
    <row r="188" spans="3:15" s="26" customFormat="1" ht="13.5" thickBot="1" x14ac:dyDescent="0.25">
      <c r="C188" s="640" t="s">
        <v>598</v>
      </c>
      <c r="D188" s="265"/>
      <c r="E188" s="248">
        <f>SUM(E168:E187)</f>
        <v>0</v>
      </c>
      <c r="F188" s="248">
        <f>SUM(F168:F187)</f>
        <v>0</v>
      </c>
      <c r="G188" s="248">
        <f>SUM(G168:G187)</f>
        <v>0</v>
      </c>
      <c r="H188" s="47"/>
      <c r="I188" s="249"/>
      <c r="J188" s="248">
        <f>SUM(J168:J187)</f>
        <v>0</v>
      </c>
      <c r="K188" s="250"/>
      <c r="L188" s="251">
        <f>SUM(L168:L187)</f>
        <v>0</v>
      </c>
      <c r="N188" s="629" t="s">
        <v>3</v>
      </c>
      <c r="O188" s="630">
        <f>SUM(O168:O187)</f>
        <v>0</v>
      </c>
    </row>
    <row r="189" spans="3:15" ht="13.5" thickTop="1" x14ac:dyDescent="0.2"/>
    <row r="191" spans="3:15" s="170" customFormat="1" x14ac:dyDescent="0.2">
      <c r="D191" s="173"/>
      <c r="E191" s="173"/>
      <c r="F191" s="173"/>
      <c r="G191" s="173"/>
      <c r="J191" s="174"/>
      <c r="K191" s="173"/>
      <c r="L191" s="173"/>
    </row>
    <row r="192" spans="3:15" s="170" customFormat="1" x14ac:dyDescent="0.2">
      <c r="D192" s="173"/>
      <c r="E192" s="173"/>
      <c r="F192" s="173"/>
      <c r="G192" s="173"/>
      <c r="J192" s="174"/>
      <c r="K192" s="173"/>
      <c r="L192" s="173"/>
    </row>
    <row r="193" spans="4:12" s="170" customFormat="1" x14ac:dyDescent="0.2">
      <c r="D193" s="173"/>
      <c r="E193" s="173"/>
      <c r="F193" s="173"/>
      <c r="G193" s="173"/>
      <c r="J193" s="174"/>
      <c r="K193" s="173"/>
      <c r="L193" s="173"/>
    </row>
    <row r="194" spans="4:12" s="170" customFormat="1" x14ac:dyDescent="0.2">
      <c r="D194" s="173"/>
      <c r="E194" s="173"/>
      <c r="F194" s="173"/>
      <c r="G194" s="173"/>
      <c r="J194" s="174"/>
      <c r="K194" s="173"/>
      <c r="L194" s="173"/>
    </row>
    <row r="195" spans="4:12" s="170" customFormat="1" x14ac:dyDescent="0.2">
      <c r="D195" s="173"/>
      <c r="E195" s="173"/>
      <c r="F195" s="173"/>
      <c r="G195" s="173"/>
      <c r="J195" s="174"/>
      <c r="K195" s="173"/>
      <c r="L195" s="173"/>
    </row>
    <row r="196" spans="4:12" s="170" customFormat="1" x14ac:dyDescent="0.2">
      <c r="D196" s="173"/>
      <c r="E196" s="173"/>
      <c r="F196" s="173"/>
      <c r="G196" s="173"/>
      <c r="J196" s="174"/>
      <c r="K196" s="173"/>
      <c r="L196" s="173"/>
    </row>
    <row r="197" spans="4:12" s="170" customFormat="1" x14ac:dyDescent="0.2">
      <c r="D197" s="173"/>
      <c r="E197" s="173"/>
      <c r="F197" s="173"/>
      <c r="G197" s="173"/>
      <c r="J197" s="174"/>
      <c r="K197" s="173"/>
      <c r="L197" s="173"/>
    </row>
    <row r="198" spans="4:12" s="170" customFormat="1" x14ac:dyDescent="0.2">
      <c r="D198" s="173"/>
      <c r="E198" s="173"/>
      <c r="F198" s="173"/>
      <c r="G198" s="173"/>
      <c r="J198" s="174"/>
      <c r="K198" s="173"/>
      <c r="L198" s="173"/>
    </row>
    <row r="199" spans="4:12" s="170" customFormat="1" x14ac:dyDescent="0.2">
      <c r="D199" s="173"/>
      <c r="E199" s="173"/>
      <c r="F199" s="173"/>
      <c r="G199" s="173"/>
      <c r="J199" s="174"/>
      <c r="K199" s="173"/>
      <c r="L199" s="173"/>
    </row>
    <row r="200" spans="4:12" s="170" customFormat="1" x14ac:dyDescent="0.2">
      <c r="D200" s="173"/>
      <c r="E200" s="173"/>
      <c r="F200" s="173"/>
      <c r="G200" s="173"/>
      <c r="J200" s="174"/>
      <c r="K200" s="173"/>
      <c r="L200" s="173"/>
    </row>
    <row r="201" spans="4:12" s="170" customFormat="1" x14ac:dyDescent="0.2">
      <c r="D201" s="173"/>
      <c r="E201" s="173"/>
      <c r="F201" s="173"/>
      <c r="G201" s="173"/>
      <c r="J201" s="174"/>
      <c r="K201" s="173"/>
      <c r="L201" s="173"/>
    </row>
    <row r="202" spans="4:12" s="170" customFormat="1" x14ac:dyDescent="0.2">
      <c r="D202" s="173"/>
      <c r="E202" s="173"/>
      <c r="F202" s="173"/>
      <c r="G202" s="173"/>
      <c r="J202" s="174"/>
      <c r="K202" s="173"/>
      <c r="L202" s="173"/>
    </row>
    <row r="203" spans="4:12" s="170" customFormat="1" x14ac:dyDescent="0.2">
      <c r="D203" s="173"/>
      <c r="E203" s="173"/>
      <c r="F203" s="173"/>
      <c r="G203" s="173"/>
      <c r="J203" s="174"/>
      <c r="K203" s="173"/>
      <c r="L203" s="173"/>
    </row>
    <row r="204" spans="4:12" s="170" customFormat="1" x14ac:dyDescent="0.2">
      <c r="D204" s="173"/>
      <c r="E204" s="173"/>
      <c r="F204" s="173"/>
      <c r="G204" s="173"/>
      <c r="J204" s="174"/>
      <c r="K204" s="173"/>
      <c r="L204" s="173"/>
    </row>
    <row r="205" spans="4:12" s="170" customFormat="1" x14ac:dyDescent="0.2">
      <c r="D205" s="173"/>
      <c r="E205" s="173"/>
      <c r="F205" s="173"/>
      <c r="G205" s="173"/>
      <c r="J205" s="174"/>
      <c r="K205" s="173"/>
      <c r="L205" s="173"/>
    </row>
    <row r="206" spans="4:12" s="170" customFormat="1" x14ac:dyDescent="0.2">
      <c r="D206" s="173"/>
      <c r="E206" s="173"/>
      <c r="F206" s="173"/>
      <c r="G206" s="173"/>
      <c r="J206" s="174"/>
      <c r="K206" s="173"/>
      <c r="L206" s="173"/>
    </row>
    <row r="207" spans="4:12" s="170" customFormat="1" x14ac:dyDescent="0.2">
      <c r="D207" s="173"/>
      <c r="E207" s="173"/>
      <c r="F207" s="173"/>
      <c r="G207" s="173"/>
      <c r="J207" s="174"/>
      <c r="K207" s="173"/>
      <c r="L207" s="173"/>
    </row>
    <row r="208" spans="4:12" s="170" customFormat="1" x14ac:dyDescent="0.2">
      <c r="D208" s="173"/>
      <c r="E208" s="173"/>
      <c r="F208" s="173"/>
      <c r="G208" s="173"/>
      <c r="J208" s="174"/>
      <c r="K208" s="173"/>
      <c r="L208" s="173"/>
    </row>
    <row r="209" spans="4:12" s="170" customFormat="1" x14ac:dyDescent="0.2">
      <c r="D209" s="173"/>
      <c r="E209" s="173"/>
      <c r="F209" s="173"/>
      <c r="G209" s="173"/>
      <c r="J209" s="174"/>
      <c r="K209" s="173"/>
      <c r="L209" s="173"/>
    </row>
    <row r="210" spans="4:12" s="170" customFormat="1" x14ac:dyDescent="0.2">
      <c r="D210" s="173"/>
      <c r="E210" s="173"/>
      <c r="F210" s="173"/>
      <c r="G210" s="173"/>
      <c r="J210" s="174"/>
      <c r="K210" s="173"/>
      <c r="L210" s="173"/>
    </row>
    <row r="211" spans="4:12" s="170" customFormat="1" x14ac:dyDescent="0.2">
      <c r="D211" s="173"/>
      <c r="E211" s="173"/>
      <c r="F211" s="173"/>
      <c r="G211" s="173"/>
      <c r="J211" s="174"/>
      <c r="K211" s="173"/>
      <c r="L211" s="173"/>
    </row>
    <row r="212" spans="4:12" s="170" customFormat="1" x14ac:dyDescent="0.2">
      <c r="D212" s="173"/>
      <c r="E212" s="173"/>
      <c r="F212" s="173"/>
      <c r="G212" s="173"/>
      <c r="J212" s="174"/>
      <c r="K212" s="173"/>
      <c r="L212" s="173"/>
    </row>
    <row r="213" spans="4:12" s="170" customFormat="1" x14ac:dyDescent="0.2">
      <c r="D213" s="173"/>
      <c r="E213" s="173"/>
      <c r="F213" s="173"/>
      <c r="G213" s="173"/>
      <c r="J213" s="174"/>
      <c r="K213" s="173"/>
      <c r="L213" s="173"/>
    </row>
    <row r="214" spans="4:12" s="170" customFormat="1" x14ac:dyDescent="0.2">
      <c r="D214" s="173"/>
      <c r="E214" s="173"/>
      <c r="F214" s="173"/>
      <c r="G214" s="173"/>
      <c r="J214" s="174"/>
      <c r="K214" s="173"/>
      <c r="L214" s="173"/>
    </row>
    <row r="215" spans="4:12" s="170" customFormat="1" x14ac:dyDescent="0.2">
      <c r="D215" s="173"/>
      <c r="E215" s="173"/>
      <c r="F215" s="173"/>
      <c r="G215" s="173"/>
      <c r="J215" s="174"/>
      <c r="K215" s="173"/>
      <c r="L215" s="173"/>
    </row>
    <row r="216" spans="4:12" s="170" customFormat="1" x14ac:dyDescent="0.2">
      <c r="D216" s="173"/>
      <c r="E216" s="173"/>
      <c r="F216" s="173"/>
      <c r="G216" s="173"/>
      <c r="J216" s="174"/>
      <c r="K216" s="173"/>
      <c r="L216" s="173"/>
    </row>
    <row r="217" spans="4:12" s="170" customFormat="1" x14ac:dyDescent="0.2">
      <c r="D217" s="173"/>
      <c r="E217" s="173"/>
      <c r="F217" s="173"/>
      <c r="G217" s="173"/>
      <c r="J217" s="174"/>
      <c r="K217" s="173"/>
      <c r="L217" s="173"/>
    </row>
    <row r="218" spans="4:12" s="170" customFormat="1" x14ac:dyDescent="0.2">
      <c r="D218" s="173"/>
      <c r="E218" s="173"/>
      <c r="F218" s="173"/>
      <c r="G218" s="173"/>
      <c r="J218" s="174"/>
      <c r="K218" s="173"/>
      <c r="L218" s="173"/>
    </row>
    <row r="219" spans="4:12" s="170" customFormat="1" x14ac:dyDescent="0.2">
      <c r="D219" s="173"/>
      <c r="E219" s="173"/>
      <c r="F219" s="173"/>
      <c r="G219" s="173"/>
      <c r="J219" s="174"/>
      <c r="K219" s="173"/>
      <c r="L219" s="173"/>
    </row>
    <row r="220" spans="4:12" s="170" customFormat="1" x14ac:dyDescent="0.2">
      <c r="D220" s="173"/>
      <c r="E220" s="173"/>
      <c r="F220" s="173"/>
      <c r="G220" s="173"/>
      <c r="J220" s="174"/>
      <c r="K220" s="173"/>
      <c r="L220" s="173"/>
    </row>
    <row r="221" spans="4:12" s="170" customFormat="1" x14ac:dyDescent="0.2">
      <c r="D221" s="173"/>
      <c r="E221" s="173"/>
      <c r="F221" s="173"/>
      <c r="G221" s="173"/>
      <c r="J221" s="174"/>
      <c r="K221" s="173"/>
      <c r="L221" s="173"/>
    </row>
    <row r="222" spans="4:12" s="170" customFormat="1" x14ac:dyDescent="0.2">
      <c r="D222" s="173"/>
      <c r="E222" s="173"/>
      <c r="F222" s="173"/>
      <c r="G222" s="173"/>
      <c r="J222" s="174"/>
      <c r="K222" s="173"/>
      <c r="L222" s="173"/>
    </row>
    <row r="223" spans="4:12" s="170" customFormat="1" x14ac:dyDescent="0.2">
      <c r="D223" s="173"/>
      <c r="E223" s="173"/>
      <c r="F223" s="173"/>
      <c r="G223" s="173"/>
      <c r="J223" s="174"/>
      <c r="K223" s="173"/>
      <c r="L223" s="173"/>
    </row>
    <row r="224" spans="4:12" s="170" customFormat="1" x14ac:dyDescent="0.2">
      <c r="D224" s="173"/>
      <c r="E224" s="173"/>
      <c r="F224" s="173"/>
      <c r="G224" s="173"/>
      <c r="J224" s="174"/>
      <c r="K224" s="173"/>
      <c r="L224" s="173"/>
    </row>
    <row r="225" spans="4:12" s="170" customFormat="1" x14ac:dyDescent="0.2">
      <c r="D225" s="173"/>
      <c r="E225" s="173"/>
      <c r="F225" s="173"/>
      <c r="G225" s="173"/>
      <c r="J225" s="174"/>
      <c r="K225" s="173"/>
      <c r="L225" s="173"/>
    </row>
    <row r="226" spans="4:12" s="170" customFormat="1" x14ac:dyDescent="0.2">
      <c r="D226" s="173"/>
      <c r="E226" s="173"/>
      <c r="F226" s="173"/>
      <c r="G226" s="173"/>
      <c r="J226" s="174"/>
      <c r="K226" s="173"/>
      <c r="L226" s="173"/>
    </row>
    <row r="227" spans="4:12" s="170" customFormat="1" x14ac:dyDescent="0.2">
      <c r="D227" s="173"/>
      <c r="E227" s="173"/>
      <c r="F227" s="173"/>
      <c r="G227" s="173"/>
      <c r="J227" s="174"/>
      <c r="K227" s="173"/>
      <c r="L227" s="173"/>
    </row>
    <row r="228" spans="4:12" s="170" customFormat="1" x14ac:dyDescent="0.2">
      <c r="D228" s="173"/>
      <c r="E228" s="173"/>
      <c r="F228" s="173"/>
      <c r="G228" s="173"/>
      <c r="J228" s="174"/>
      <c r="K228" s="173"/>
      <c r="L228" s="173"/>
    </row>
    <row r="229" spans="4:12" s="170" customFormat="1" x14ac:dyDescent="0.2">
      <c r="D229" s="173"/>
      <c r="E229" s="173"/>
      <c r="F229" s="173"/>
      <c r="G229" s="173"/>
      <c r="J229" s="174"/>
      <c r="K229" s="173"/>
      <c r="L229" s="173"/>
    </row>
    <row r="230" spans="4:12" s="170" customFormat="1" x14ac:dyDescent="0.2">
      <c r="D230" s="173"/>
      <c r="E230" s="173"/>
      <c r="F230" s="173"/>
      <c r="G230" s="173"/>
      <c r="J230" s="174"/>
      <c r="K230" s="173"/>
      <c r="L230" s="173"/>
    </row>
    <row r="231" spans="4:12" s="170" customFormat="1" x14ac:dyDescent="0.2">
      <c r="D231" s="173"/>
      <c r="E231" s="173"/>
      <c r="F231" s="173"/>
      <c r="G231" s="173"/>
      <c r="J231" s="174"/>
      <c r="K231" s="173"/>
      <c r="L231" s="173"/>
    </row>
    <row r="232" spans="4:12" s="170" customFormat="1" x14ac:dyDescent="0.2">
      <c r="D232" s="173"/>
      <c r="E232" s="173"/>
      <c r="F232" s="173"/>
      <c r="G232" s="173"/>
      <c r="J232" s="174"/>
      <c r="K232" s="173"/>
      <c r="L232" s="173"/>
    </row>
    <row r="233" spans="4:12" s="170" customFormat="1" x14ac:dyDescent="0.2">
      <c r="D233" s="173"/>
      <c r="E233" s="173"/>
      <c r="F233" s="173"/>
      <c r="G233" s="173"/>
      <c r="J233" s="174"/>
      <c r="K233" s="173"/>
      <c r="L233" s="173"/>
    </row>
    <row r="234" spans="4:12" s="170" customFormat="1" x14ac:dyDescent="0.2">
      <c r="D234" s="173"/>
      <c r="E234" s="173"/>
      <c r="F234" s="173"/>
      <c r="G234" s="173"/>
      <c r="J234" s="174"/>
      <c r="K234" s="173"/>
      <c r="L234" s="173"/>
    </row>
    <row r="235" spans="4:12" s="170" customFormat="1" x14ac:dyDescent="0.2">
      <c r="D235" s="173"/>
      <c r="E235" s="173"/>
      <c r="F235" s="173"/>
      <c r="G235" s="173"/>
      <c r="J235" s="174"/>
      <c r="K235" s="173"/>
      <c r="L235" s="173"/>
    </row>
    <row r="236" spans="4:12" s="170" customFormat="1" x14ac:dyDescent="0.2">
      <c r="D236" s="173"/>
      <c r="E236" s="173"/>
      <c r="F236" s="173"/>
      <c r="G236" s="173"/>
      <c r="J236" s="174"/>
      <c r="K236" s="173"/>
      <c r="L236" s="173"/>
    </row>
    <row r="237" spans="4:12" s="170" customFormat="1" x14ac:dyDescent="0.2">
      <c r="D237" s="173"/>
      <c r="E237" s="173"/>
      <c r="F237" s="173"/>
      <c r="G237" s="173"/>
      <c r="J237" s="174"/>
      <c r="K237" s="173"/>
      <c r="L237" s="173"/>
    </row>
    <row r="238" spans="4:12" s="170" customFormat="1" x14ac:dyDescent="0.2">
      <c r="D238" s="173"/>
      <c r="E238" s="173"/>
      <c r="F238" s="173"/>
      <c r="G238" s="173"/>
      <c r="J238" s="174"/>
      <c r="K238" s="173"/>
      <c r="L238" s="173"/>
    </row>
    <row r="239" spans="4:12" s="170" customFormat="1" x14ac:dyDescent="0.2">
      <c r="D239" s="173"/>
      <c r="E239" s="173"/>
      <c r="F239" s="173"/>
      <c r="G239" s="173"/>
      <c r="J239" s="174"/>
      <c r="K239" s="173"/>
      <c r="L239" s="173"/>
    </row>
    <row r="240" spans="4:12" s="170" customFormat="1" x14ac:dyDescent="0.2">
      <c r="D240" s="173"/>
      <c r="E240" s="173"/>
      <c r="F240" s="173"/>
      <c r="G240" s="173"/>
      <c r="J240" s="174"/>
      <c r="K240" s="173"/>
      <c r="L240" s="173"/>
    </row>
    <row r="241" spans="4:12" s="170" customFormat="1" x14ac:dyDescent="0.2">
      <c r="D241" s="173"/>
      <c r="E241" s="173"/>
      <c r="F241" s="173"/>
      <c r="G241" s="173"/>
      <c r="J241" s="174"/>
      <c r="K241" s="173"/>
      <c r="L241" s="173"/>
    </row>
    <row r="242" spans="4:12" s="170" customFormat="1" x14ac:dyDescent="0.2">
      <c r="D242" s="173"/>
      <c r="E242" s="173"/>
      <c r="F242" s="173"/>
      <c r="G242" s="173"/>
      <c r="J242" s="174"/>
      <c r="K242" s="173"/>
      <c r="L242" s="173"/>
    </row>
    <row r="243" spans="4:12" s="170" customFormat="1" x14ac:dyDescent="0.2">
      <c r="D243" s="173"/>
      <c r="E243" s="173"/>
      <c r="F243" s="173"/>
      <c r="G243" s="173"/>
      <c r="J243" s="174"/>
      <c r="K243" s="173"/>
      <c r="L243" s="173"/>
    </row>
    <row r="244" spans="4:12" s="170" customFormat="1" x14ac:dyDescent="0.2">
      <c r="D244" s="173"/>
      <c r="E244" s="173"/>
      <c r="F244" s="173"/>
      <c r="G244" s="173"/>
      <c r="J244" s="174"/>
      <c r="K244" s="173"/>
      <c r="L244" s="173"/>
    </row>
    <row r="245" spans="4:12" s="170" customFormat="1" x14ac:dyDescent="0.2">
      <c r="D245" s="173"/>
      <c r="E245" s="173"/>
      <c r="F245" s="173"/>
      <c r="G245" s="173"/>
      <c r="J245" s="174"/>
      <c r="K245" s="173"/>
      <c r="L245" s="173"/>
    </row>
    <row r="246" spans="4:12" s="170" customFormat="1" x14ac:dyDescent="0.2">
      <c r="D246" s="173"/>
      <c r="E246" s="173"/>
      <c r="F246" s="173"/>
      <c r="G246" s="173"/>
      <c r="J246" s="174"/>
      <c r="K246" s="173"/>
      <c r="L246" s="173"/>
    </row>
    <row r="247" spans="4:12" s="170" customFormat="1" x14ac:dyDescent="0.2">
      <c r="D247" s="173"/>
      <c r="E247" s="173"/>
      <c r="F247" s="173"/>
      <c r="G247" s="173"/>
      <c r="J247" s="174"/>
      <c r="K247" s="173"/>
      <c r="L247" s="173"/>
    </row>
    <row r="248" spans="4:12" s="170" customFormat="1" x14ac:dyDescent="0.2">
      <c r="D248" s="173"/>
      <c r="E248" s="173"/>
      <c r="F248" s="173"/>
      <c r="G248" s="173"/>
      <c r="J248" s="174"/>
      <c r="K248" s="173"/>
      <c r="L248" s="173"/>
    </row>
    <row r="249" spans="4:12" s="170" customFormat="1" x14ac:dyDescent="0.2">
      <c r="D249" s="173"/>
      <c r="E249" s="173"/>
      <c r="F249" s="173"/>
      <c r="G249" s="173"/>
      <c r="J249" s="174"/>
      <c r="K249" s="173"/>
      <c r="L249" s="173"/>
    </row>
    <row r="250" spans="4:12" s="170" customFormat="1" x14ac:dyDescent="0.2">
      <c r="D250" s="173"/>
      <c r="E250" s="173"/>
      <c r="F250" s="173"/>
      <c r="G250" s="173"/>
      <c r="J250" s="174"/>
      <c r="K250" s="173"/>
      <c r="L250" s="173"/>
    </row>
    <row r="251" spans="4:12" s="170" customFormat="1" x14ac:dyDescent="0.2">
      <c r="D251" s="173"/>
      <c r="E251" s="173"/>
      <c r="F251" s="173"/>
      <c r="G251" s="173"/>
      <c r="J251" s="174"/>
      <c r="K251" s="173"/>
      <c r="L251" s="173"/>
    </row>
    <row r="252" spans="4:12" s="170" customFormat="1" x14ac:dyDescent="0.2">
      <c r="D252" s="173"/>
      <c r="E252" s="173"/>
      <c r="F252" s="173"/>
      <c r="G252" s="173"/>
      <c r="J252" s="174"/>
      <c r="K252" s="173"/>
      <c r="L252" s="173"/>
    </row>
    <row r="253" spans="4:12" s="170" customFormat="1" x14ac:dyDescent="0.2">
      <c r="D253" s="173"/>
      <c r="E253" s="173"/>
      <c r="F253" s="173"/>
      <c r="G253" s="173"/>
      <c r="J253" s="174"/>
      <c r="K253" s="173"/>
      <c r="L253" s="173"/>
    </row>
    <row r="254" spans="4:12" s="170" customFormat="1" x14ac:dyDescent="0.2">
      <c r="D254" s="173"/>
      <c r="E254" s="173"/>
      <c r="F254" s="173"/>
      <c r="G254" s="173"/>
      <c r="J254" s="174"/>
      <c r="K254" s="173"/>
      <c r="L254" s="173"/>
    </row>
    <row r="255" spans="4:12" s="170" customFormat="1" x14ac:dyDescent="0.2">
      <c r="D255" s="173"/>
      <c r="E255" s="173"/>
      <c r="F255" s="173"/>
      <c r="G255" s="173"/>
      <c r="J255" s="174"/>
      <c r="K255" s="173"/>
      <c r="L255" s="173"/>
    </row>
    <row r="256" spans="4:12" s="170" customFormat="1" x14ac:dyDescent="0.2">
      <c r="D256" s="173"/>
      <c r="E256" s="173"/>
      <c r="F256" s="173"/>
      <c r="G256" s="173"/>
      <c r="J256" s="174"/>
      <c r="K256" s="173"/>
      <c r="L256" s="173"/>
    </row>
    <row r="257" spans="4:12" s="170" customFormat="1" x14ac:dyDescent="0.2">
      <c r="D257" s="173"/>
      <c r="E257" s="173"/>
      <c r="F257" s="173"/>
      <c r="G257" s="173"/>
      <c r="J257" s="174"/>
      <c r="K257" s="173"/>
      <c r="L257" s="173"/>
    </row>
    <row r="258" spans="4:12" s="170" customFormat="1" x14ac:dyDescent="0.2">
      <c r="D258" s="173"/>
      <c r="E258" s="173"/>
      <c r="F258" s="173"/>
      <c r="G258" s="173"/>
      <c r="J258" s="174"/>
      <c r="K258" s="173"/>
      <c r="L258" s="173"/>
    </row>
    <row r="259" spans="4:12" s="170" customFormat="1" x14ac:dyDescent="0.2">
      <c r="D259" s="173"/>
      <c r="E259" s="173"/>
      <c r="F259" s="173"/>
      <c r="G259" s="173"/>
      <c r="J259" s="174"/>
      <c r="K259" s="173"/>
      <c r="L259" s="173"/>
    </row>
    <row r="260" spans="4:12" s="170" customFormat="1" x14ac:dyDescent="0.2">
      <c r="D260" s="173"/>
      <c r="E260" s="173"/>
      <c r="F260" s="173"/>
      <c r="G260" s="173"/>
      <c r="J260" s="174"/>
      <c r="K260" s="173"/>
      <c r="L260" s="173"/>
    </row>
    <row r="261" spans="4:12" s="170" customFormat="1" x14ac:dyDescent="0.2">
      <c r="D261" s="173"/>
      <c r="E261" s="173"/>
      <c r="F261" s="173"/>
      <c r="G261" s="173"/>
      <c r="J261" s="174"/>
      <c r="K261" s="173"/>
      <c r="L261" s="173"/>
    </row>
    <row r="262" spans="4:12" s="170" customFormat="1" x14ac:dyDescent="0.2">
      <c r="D262" s="173"/>
      <c r="E262" s="173"/>
      <c r="F262" s="173"/>
      <c r="G262" s="173"/>
      <c r="J262" s="174"/>
      <c r="K262" s="173"/>
      <c r="L262" s="173"/>
    </row>
    <row r="263" spans="4:12" s="170" customFormat="1" x14ac:dyDescent="0.2">
      <c r="D263" s="173"/>
      <c r="E263" s="173"/>
      <c r="F263" s="173"/>
      <c r="G263" s="173"/>
      <c r="J263" s="174"/>
      <c r="K263" s="173"/>
      <c r="L263" s="173"/>
    </row>
    <row r="264" spans="4:12" s="170" customFormat="1" x14ac:dyDescent="0.2">
      <c r="D264" s="173"/>
      <c r="E264" s="173"/>
      <c r="F264" s="173"/>
      <c r="G264" s="173"/>
      <c r="J264" s="174"/>
      <c r="K264" s="173"/>
      <c r="L264" s="173"/>
    </row>
    <row r="265" spans="4:12" s="170" customFormat="1" x14ac:dyDescent="0.2">
      <c r="D265" s="173"/>
      <c r="E265" s="173"/>
      <c r="F265" s="173"/>
      <c r="G265" s="173"/>
      <c r="J265" s="174"/>
      <c r="K265" s="173"/>
      <c r="L265" s="173"/>
    </row>
    <row r="266" spans="4:12" s="170" customFormat="1" x14ac:dyDescent="0.2">
      <c r="D266" s="173"/>
      <c r="E266" s="173"/>
      <c r="F266" s="173"/>
      <c r="G266" s="173"/>
      <c r="J266" s="174"/>
      <c r="K266" s="173"/>
      <c r="L266" s="173"/>
    </row>
    <row r="267" spans="4:12" s="170" customFormat="1" x14ac:dyDescent="0.2">
      <c r="D267" s="173"/>
      <c r="E267" s="173"/>
      <c r="F267" s="173"/>
      <c r="G267" s="173"/>
      <c r="J267" s="174"/>
      <c r="K267" s="173"/>
      <c r="L267" s="173"/>
    </row>
    <row r="268" spans="4:12" s="170" customFormat="1" x14ac:dyDescent="0.2">
      <c r="D268" s="173"/>
      <c r="E268" s="173"/>
      <c r="F268" s="173"/>
      <c r="G268" s="173"/>
      <c r="J268" s="174"/>
      <c r="K268" s="173"/>
      <c r="L268" s="173"/>
    </row>
    <row r="269" spans="4:12" s="170" customFormat="1" x14ac:dyDescent="0.2">
      <c r="D269" s="173"/>
      <c r="E269" s="173"/>
      <c r="F269" s="173"/>
      <c r="G269" s="173"/>
      <c r="J269" s="174"/>
      <c r="K269" s="173"/>
      <c r="L269" s="173"/>
    </row>
    <row r="270" spans="4:12" s="170" customFormat="1" x14ac:dyDescent="0.2">
      <c r="D270" s="173"/>
      <c r="E270" s="173"/>
      <c r="F270" s="173"/>
      <c r="G270" s="173"/>
      <c r="J270" s="174"/>
      <c r="K270" s="173"/>
      <c r="L270" s="173"/>
    </row>
    <row r="271" spans="4:12" s="170" customFormat="1" x14ac:dyDescent="0.2">
      <c r="D271" s="173"/>
      <c r="E271" s="173"/>
      <c r="F271" s="173"/>
      <c r="G271" s="173"/>
      <c r="J271" s="174"/>
      <c r="K271" s="173"/>
      <c r="L271" s="173"/>
    </row>
    <row r="272" spans="4:12" s="170" customFormat="1" x14ac:dyDescent="0.2">
      <c r="D272" s="173"/>
      <c r="E272" s="173"/>
      <c r="F272" s="173"/>
      <c r="G272" s="173"/>
      <c r="J272" s="174"/>
      <c r="K272" s="173"/>
      <c r="L272" s="173"/>
    </row>
    <row r="273" spans="4:12" s="170" customFormat="1" x14ac:dyDescent="0.2">
      <c r="D273" s="173"/>
      <c r="E273" s="173"/>
      <c r="F273" s="173"/>
      <c r="G273" s="173"/>
      <c r="J273" s="174"/>
      <c r="K273" s="173"/>
      <c r="L273" s="173"/>
    </row>
    <row r="274" spans="4:12" s="170" customFormat="1" x14ac:dyDescent="0.2">
      <c r="D274" s="173"/>
      <c r="E274" s="173"/>
      <c r="F274" s="173"/>
      <c r="G274" s="173"/>
      <c r="J274" s="174"/>
      <c r="K274" s="173"/>
      <c r="L274" s="173"/>
    </row>
    <row r="275" spans="4:12" s="170" customFormat="1" x14ac:dyDescent="0.2">
      <c r="D275" s="173"/>
      <c r="E275" s="173"/>
      <c r="F275" s="173"/>
      <c r="G275" s="173"/>
      <c r="J275" s="174"/>
      <c r="K275" s="173"/>
      <c r="L275" s="173"/>
    </row>
    <row r="276" spans="4:12" s="170" customFormat="1" x14ac:dyDescent="0.2">
      <c r="D276" s="173"/>
      <c r="E276" s="173"/>
      <c r="F276" s="173"/>
      <c r="G276" s="173"/>
      <c r="J276" s="174"/>
      <c r="K276" s="173"/>
      <c r="L276" s="173"/>
    </row>
    <row r="277" spans="4:12" s="170" customFormat="1" x14ac:dyDescent="0.2">
      <c r="D277" s="173"/>
      <c r="E277" s="173"/>
      <c r="F277" s="173"/>
      <c r="G277" s="173"/>
      <c r="J277" s="174"/>
      <c r="K277" s="173"/>
      <c r="L277" s="173"/>
    </row>
    <row r="278" spans="4:12" s="170" customFormat="1" x14ac:dyDescent="0.2">
      <c r="D278" s="173"/>
      <c r="E278" s="173"/>
      <c r="F278" s="173"/>
      <c r="G278" s="173"/>
      <c r="J278" s="174"/>
      <c r="K278" s="173"/>
      <c r="L278" s="173"/>
    </row>
    <row r="279" spans="4:12" s="170" customFormat="1" x14ac:dyDescent="0.2">
      <c r="D279" s="173"/>
      <c r="E279" s="173"/>
      <c r="F279" s="173"/>
      <c r="G279" s="173"/>
      <c r="J279" s="174"/>
      <c r="K279" s="173"/>
      <c r="L279" s="173"/>
    </row>
    <row r="280" spans="4:12" s="170" customFormat="1" x14ac:dyDescent="0.2">
      <c r="D280" s="173"/>
      <c r="E280" s="173"/>
      <c r="F280" s="173"/>
      <c r="G280" s="173"/>
      <c r="J280" s="174"/>
      <c r="K280" s="173"/>
      <c r="L280" s="173"/>
    </row>
    <row r="281" spans="4:12" s="170" customFormat="1" x14ac:dyDescent="0.2">
      <c r="D281" s="173"/>
      <c r="E281" s="173"/>
      <c r="F281" s="173"/>
      <c r="G281" s="173"/>
      <c r="J281" s="174"/>
      <c r="K281" s="173"/>
      <c r="L281" s="173"/>
    </row>
    <row r="282" spans="4:12" s="170" customFormat="1" x14ac:dyDescent="0.2">
      <c r="D282" s="173"/>
      <c r="E282" s="173"/>
      <c r="F282" s="173"/>
      <c r="G282" s="173"/>
      <c r="J282" s="174"/>
      <c r="K282" s="173"/>
      <c r="L282" s="173"/>
    </row>
    <row r="283" spans="4:12" s="170" customFormat="1" x14ac:dyDescent="0.2">
      <c r="D283" s="173"/>
      <c r="E283" s="173"/>
      <c r="F283" s="173"/>
      <c r="G283" s="173"/>
      <c r="J283" s="174"/>
      <c r="K283" s="173"/>
      <c r="L283" s="173"/>
    </row>
    <row r="284" spans="4:12" s="170" customFormat="1" x14ac:dyDescent="0.2">
      <c r="D284" s="173"/>
      <c r="E284" s="173"/>
      <c r="F284" s="173"/>
      <c r="G284" s="173"/>
      <c r="J284" s="174"/>
      <c r="K284" s="173"/>
      <c r="L284" s="173"/>
    </row>
    <row r="285" spans="4:12" s="170" customFormat="1" x14ac:dyDescent="0.2">
      <c r="D285" s="173"/>
      <c r="E285" s="173"/>
      <c r="F285" s="173"/>
      <c r="G285" s="173"/>
      <c r="J285" s="174"/>
      <c r="K285" s="173"/>
      <c r="L285" s="173"/>
    </row>
    <row r="286" spans="4:12" s="170" customFormat="1" x14ac:dyDescent="0.2">
      <c r="D286" s="173"/>
      <c r="E286" s="173"/>
      <c r="F286" s="173"/>
      <c r="G286" s="173"/>
      <c r="J286" s="174"/>
      <c r="K286" s="173"/>
      <c r="L286" s="173"/>
    </row>
    <row r="287" spans="4:12" s="170" customFormat="1" x14ac:dyDescent="0.2">
      <c r="D287" s="173"/>
      <c r="E287" s="173"/>
      <c r="F287" s="173"/>
      <c r="G287" s="173"/>
      <c r="J287" s="174"/>
      <c r="K287" s="173"/>
      <c r="L287" s="173"/>
    </row>
    <row r="288" spans="4:12" s="170" customFormat="1" x14ac:dyDescent="0.2">
      <c r="D288" s="173"/>
      <c r="E288" s="173"/>
      <c r="F288" s="173"/>
      <c r="G288" s="173"/>
      <c r="J288" s="174"/>
      <c r="K288" s="173"/>
      <c r="L288" s="173"/>
    </row>
    <row r="289" spans="4:12" s="170" customFormat="1" x14ac:dyDescent="0.2">
      <c r="D289" s="173"/>
      <c r="E289" s="173"/>
      <c r="F289" s="173"/>
      <c r="G289" s="173"/>
      <c r="J289" s="174"/>
      <c r="K289" s="173"/>
      <c r="L289" s="173"/>
    </row>
    <row r="290" spans="4:12" s="170" customFormat="1" x14ac:dyDescent="0.2">
      <c r="D290" s="173"/>
      <c r="E290" s="173"/>
      <c r="F290" s="173"/>
      <c r="G290" s="173"/>
      <c r="J290" s="174"/>
      <c r="K290" s="173"/>
      <c r="L290" s="173"/>
    </row>
    <row r="291" spans="4:12" s="170" customFormat="1" x14ac:dyDescent="0.2">
      <c r="D291" s="173"/>
      <c r="E291" s="173"/>
      <c r="F291" s="173"/>
      <c r="G291" s="173"/>
      <c r="J291" s="174"/>
      <c r="K291" s="173"/>
      <c r="L291" s="173"/>
    </row>
    <row r="292" spans="4:12" s="170" customFormat="1" x14ac:dyDescent="0.2">
      <c r="D292" s="173"/>
      <c r="E292" s="173"/>
      <c r="F292" s="173"/>
      <c r="G292" s="173"/>
      <c r="J292" s="174"/>
      <c r="K292" s="173"/>
      <c r="L292" s="173"/>
    </row>
    <row r="293" spans="4:12" s="170" customFormat="1" x14ac:dyDescent="0.2">
      <c r="D293" s="173"/>
      <c r="E293" s="173"/>
      <c r="F293" s="173"/>
      <c r="G293" s="173"/>
      <c r="J293" s="174"/>
      <c r="K293" s="173"/>
      <c r="L293" s="173"/>
    </row>
    <row r="294" spans="4:12" s="170" customFormat="1" x14ac:dyDescent="0.2">
      <c r="D294" s="173"/>
      <c r="E294" s="173"/>
      <c r="F294" s="173"/>
      <c r="G294" s="173"/>
      <c r="J294" s="174"/>
      <c r="K294" s="173"/>
      <c r="L294" s="173"/>
    </row>
    <row r="295" spans="4:12" s="170" customFormat="1" x14ac:dyDescent="0.2">
      <c r="D295" s="173"/>
      <c r="E295" s="173"/>
      <c r="F295" s="173"/>
      <c r="G295" s="173"/>
      <c r="J295" s="174"/>
      <c r="K295" s="173"/>
      <c r="L295" s="173"/>
    </row>
    <row r="296" spans="4:12" s="170" customFormat="1" x14ac:dyDescent="0.2">
      <c r="D296" s="173"/>
      <c r="E296" s="173"/>
      <c r="F296" s="173"/>
      <c r="G296" s="173"/>
      <c r="J296" s="174"/>
      <c r="K296" s="173"/>
      <c r="L296" s="173"/>
    </row>
    <row r="297" spans="4:12" s="170" customFormat="1" x14ac:dyDescent="0.2">
      <c r="D297" s="173"/>
      <c r="E297" s="173"/>
      <c r="F297" s="173"/>
      <c r="G297" s="173"/>
      <c r="J297" s="174"/>
      <c r="K297" s="173"/>
      <c r="L297" s="173"/>
    </row>
    <row r="298" spans="4:12" s="170" customFormat="1" x14ac:dyDescent="0.2">
      <c r="D298" s="173"/>
      <c r="E298" s="173"/>
      <c r="F298" s="173"/>
      <c r="G298" s="173"/>
      <c r="J298" s="174"/>
      <c r="K298" s="173"/>
      <c r="L298" s="173"/>
    </row>
    <row r="299" spans="4:12" s="170" customFormat="1" x14ac:dyDescent="0.2">
      <c r="D299" s="173"/>
      <c r="E299" s="173"/>
      <c r="F299" s="173"/>
      <c r="G299" s="173"/>
      <c r="J299" s="174"/>
      <c r="K299" s="173"/>
      <c r="L299" s="173"/>
    </row>
    <row r="300" spans="4:12" s="170" customFormat="1" x14ac:dyDescent="0.2">
      <c r="D300" s="173"/>
      <c r="E300" s="173"/>
      <c r="F300" s="173"/>
      <c r="G300" s="173"/>
      <c r="J300" s="174"/>
      <c r="K300" s="173"/>
      <c r="L300" s="173"/>
    </row>
    <row r="301" spans="4:12" s="170" customFormat="1" x14ac:dyDescent="0.2">
      <c r="D301" s="173"/>
      <c r="E301" s="173"/>
      <c r="F301" s="173"/>
      <c r="G301" s="173"/>
      <c r="J301" s="174"/>
      <c r="K301" s="173"/>
      <c r="L301" s="173"/>
    </row>
    <row r="302" spans="4:12" s="170" customFormat="1" x14ac:dyDescent="0.2">
      <c r="D302" s="173"/>
      <c r="E302" s="173"/>
      <c r="F302" s="173"/>
      <c r="G302" s="173"/>
      <c r="J302" s="174"/>
      <c r="K302" s="173"/>
      <c r="L302" s="173"/>
    </row>
    <row r="303" spans="4:12" s="170" customFormat="1" x14ac:dyDescent="0.2">
      <c r="D303" s="173"/>
      <c r="E303" s="173"/>
      <c r="F303" s="173"/>
      <c r="G303" s="173"/>
      <c r="J303" s="174"/>
      <c r="K303" s="173"/>
      <c r="L303" s="173"/>
    </row>
    <row r="304" spans="4:12" s="170" customFormat="1" x14ac:dyDescent="0.2">
      <c r="D304" s="173"/>
      <c r="E304" s="173"/>
      <c r="F304" s="173"/>
      <c r="G304" s="173"/>
      <c r="J304" s="174"/>
      <c r="K304" s="173"/>
      <c r="L304" s="173"/>
    </row>
    <row r="305" spans="4:12" s="170" customFormat="1" x14ac:dyDescent="0.2">
      <c r="D305" s="173"/>
      <c r="E305" s="173"/>
      <c r="F305" s="173"/>
      <c r="G305" s="173"/>
      <c r="J305" s="174"/>
      <c r="K305" s="173"/>
      <c r="L305" s="173"/>
    </row>
    <row r="306" spans="4:12" s="170" customFormat="1" x14ac:dyDescent="0.2">
      <c r="D306" s="173"/>
      <c r="E306" s="173"/>
      <c r="F306" s="173"/>
      <c r="G306" s="173"/>
      <c r="J306" s="174"/>
      <c r="K306" s="173"/>
      <c r="L306" s="173"/>
    </row>
    <row r="307" spans="4:12" s="170" customFormat="1" x14ac:dyDescent="0.2">
      <c r="D307" s="173"/>
      <c r="E307" s="173"/>
      <c r="F307" s="173"/>
      <c r="G307" s="173"/>
      <c r="J307" s="174"/>
      <c r="K307" s="173"/>
      <c r="L307" s="173"/>
    </row>
    <row r="308" spans="4:12" s="170" customFormat="1" x14ac:dyDescent="0.2">
      <c r="D308" s="173"/>
      <c r="E308" s="173"/>
      <c r="F308" s="173"/>
      <c r="G308" s="173"/>
      <c r="J308" s="174"/>
      <c r="K308" s="173"/>
      <c r="L308" s="173"/>
    </row>
    <row r="309" spans="4:12" s="170" customFormat="1" x14ac:dyDescent="0.2">
      <c r="D309" s="173"/>
      <c r="E309" s="173"/>
      <c r="F309" s="173"/>
      <c r="G309" s="173"/>
      <c r="J309" s="174"/>
      <c r="K309" s="173"/>
      <c r="L309" s="173"/>
    </row>
    <row r="310" spans="4:12" s="170" customFormat="1" x14ac:dyDescent="0.2">
      <c r="D310" s="173"/>
      <c r="E310" s="173"/>
      <c r="F310" s="173"/>
      <c r="G310" s="173"/>
      <c r="J310" s="174"/>
      <c r="K310" s="173"/>
      <c r="L310" s="173"/>
    </row>
    <row r="311" spans="4:12" s="170" customFormat="1" x14ac:dyDescent="0.2">
      <c r="D311" s="173"/>
      <c r="E311" s="173"/>
      <c r="F311" s="173"/>
      <c r="G311" s="173"/>
      <c r="J311" s="174"/>
      <c r="K311" s="173"/>
      <c r="L311" s="173"/>
    </row>
    <row r="312" spans="4:12" s="170" customFormat="1" x14ac:dyDescent="0.2">
      <c r="D312" s="173"/>
      <c r="E312" s="173"/>
      <c r="F312" s="173"/>
      <c r="G312" s="173"/>
      <c r="J312" s="174"/>
      <c r="K312" s="173"/>
      <c r="L312" s="173"/>
    </row>
    <row r="313" spans="4:12" s="170" customFormat="1" x14ac:dyDescent="0.2">
      <c r="D313" s="173"/>
      <c r="E313" s="173"/>
      <c r="F313" s="173"/>
      <c r="G313" s="173"/>
      <c r="J313" s="174"/>
      <c r="K313" s="173"/>
      <c r="L313" s="173"/>
    </row>
    <row r="314" spans="4:12" s="170" customFormat="1" x14ac:dyDescent="0.2">
      <c r="D314" s="173"/>
      <c r="E314" s="173"/>
      <c r="F314" s="173"/>
      <c r="G314" s="173"/>
      <c r="J314" s="174"/>
      <c r="K314" s="173"/>
      <c r="L314" s="173"/>
    </row>
    <row r="315" spans="4:12" s="170" customFormat="1" x14ac:dyDescent="0.2">
      <c r="D315" s="173"/>
      <c r="E315" s="173"/>
      <c r="F315" s="173"/>
      <c r="G315" s="173"/>
      <c r="J315" s="174"/>
      <c r="K315" s="173"/>
      <c r="L315" s="173"/>
    </row>
    <row r="316" spans="4:12" s="170" customFormat="1" x14ac:dyDescent="0.2">
      <c r="D316" s="173"/>
      <c r="E316" s="173"/>
      <c r="F316" s="173"/>
      <c r="G316" s="173"/>
      <c r="J316" s="174"/>
      <c r="K316" s="173"/>
      <c r="L316" s="173"/>
    </row>
    <row r="317" spans="4:12" s="170" customFormat="1" x14ac:dyDescent="0.2">
      <c r="D317" s="173"/>
      <c r="E317" s="173"/>
      <c r="F317" s="173"/>
      <c r="G317" s="173"/>
      <c r="J317" s="174"/>
      <c r="K317" s="173"/>
      <c r="L317" s="173"/>
    </row>
    <row r="318" spans="4:12" s="170" customFormat="1" x14ac:dyDescent="0.2">
      <c r="D318" s="173"/>
      <c r="E318" s="173"/>
      <c r="F318" s="173"/>
      <c r="G318" s="173"/>
      <c r="J318" s="174"/>
      <c r="K318" s="173"/>
      <c r="L318" s="173"/>
    </row>
    <row r="319" spans="4:12" s="170" customFormat="1" x14ac:dyDescent="0.2">
      <c r="D319" s="173"/>
      <c r="E319" s="173"/>
      <c r="F319" s="173"/>
      <c r="G319" s="173"/>
      <c r="J319" s="174"/>
      <c r="K319" s="173"/>
      <c r="L319" s="173"/>
    </row>
    <row r="320" spans="4:12" s="170" customFormat="1" x14ac:dyDescent="0.2">
      <c r="D320" s="173"/>
      <c r="E320" s="173"/>
      <c r="F320" s="173"/>
      <c r="G320" s="173"/>
      <c r="J320" s="174"/>
      <c r="K320" s="173"/>
      <c r="L320" s="173"/>
    </row>
    <row r="321" spans="4:12" s="170" customFormat="1" x14ac:dyDescent="0.2">
      <c r="D321" s="173"/>
      <c r="E321" s="173"/>
      <c r="F321" s="173"/>
      <c r="G321" s="173"/>
      <c r="J321" s="174"/>
      <c r="K321" s="173"/>
      <c r="L321" s="173"/>
    </row>
    <row r="322" spans="4:12" s="170" customFormat="1" x14ac:dyDescent="0.2">
      <c r="D322" s="173"/>
      <c r="E322" s="173"/>
      <c r="F322" s="173"/>
      <c r="G322" s="173"/>
      <c r="J322" s="174"/>
      <c r="K322" s="173"/>
      <c r="L322" s="173"/>
    </row>
    <row r="323" spans="4:12" s="170" customFormat="1" x14ac:dyDescent="0.2">
      <c r="D323" s="173"/>
      <c r="E323" s="173"/>
      <c r="F323" s="173"/>
      <c r="G323" s="173"/>
      <c r="J323" s="174"/>
      <c r="K323" s="173"/>
      <c r="L323" s="173"/>
    </row>
    <row r="324" spans="4:12" s="170" customFormat="1" x14ac:dyDescent="0.2">
      <c r="D324" s="173"/>
      <c r="E324" s="173"/>
      <c r="F324" s="173"/>
      <c r="G324" s="173"/>
      <c r="J324" s="174"/>
      <c r="K324" s="173"/>
      <c r="L324" s="173"/>
    </row>
    <row r="325" spans="4:12" s="170" customFormat="1" x14ac:dyDescent="0.2">
      <c r="D325" s="173"/>
      <c r="E325" s="173"/>
      <c r="F325" s="173"/>
      <c r="G325" s="173"/>
      <c r="J325" s="174"/>
      <c r="K325" s="173"/>
      <c r="L325" s="173"/>
    </row>
    <row r="326" spans="4:12" s="170" customFormat="1" x14ac:dyDescent="0.2">
      <c r="D326" s="173"/>
      <c r="E326" s="173"/>
      <c r="F326" s="173"/>
      <c r="G326" s="173"/>
      <c r="J326" s="174"/>
      <c r="K326" s="173"/>
      <c r="L326" s="173"/>
    </row>
    <row r="327" spans="4:12" s="170" customFormat="1" x14ac:dyDescent="0.2">
      <c r="D327" s="173"/>
      <c r="E327" s="173"/>
      <c r="F327" s="173"/>
      <c r="G327" s="173"/>
      <c r="J327" s="174"/>
      <c r="K327" s="173"/>
      <c r="L327" s="173"/>
    </row>
    <row r="328" spans="4:12" s="170" customFormat="1" x14ac:dyDescent="0.2">
      <c r="D328" s="173"/>
      <c r="E328" s="173"/>
      <c r="F328" s="173"/>
      <c r="G328" s="173"/>
      <c r="J328" s="174"/>
      <c r="K328" s="173"/>
      <c r="L328" s="173"/>
    </row>
    <row r="329" spans="4:12" s="170" customFormat="1" x14ac:dyDescent="0.2">
      <c r="D329" s="173"/>
      <c r="E329" s="173"/>
      <c r="F329" s="173"/>
      <c r="G329" s="173"/>
      <c r="J329" s="174"/>
      <c r="K329" s="173"/>
      <c r="L329" s="173"/>
    </row>
    <row r="330" spans="4:12" s="170" customFormat="1" x14ac:dyDescent="0.2">
      <c r="D330" s="173"/>
      <c r="E330" s="173"/>
      <c r="F330" s="173"/>
      <c r="G330" s="173"/>
      <c r="J330" s="174"/>
      <c r="K330" s="173"/>
      <c r="L330" s="173"/>
    </row>
    <row r="331" spans="4:12" s="170" customFormat="1" x14ac:dyDescent="0.2">
      <c r="D331" s="173"/>
      <c r="E331" s="173"/>
      <c r="F331" s="173"/>
      <c r="G331" s="173"/>
      <c r="J331" s="174"/>
      <c r="K331" s="173"/>
      <c r="L331" s="173"/>
    </row>
    <row r="332" spans="4:12" s="170" customFormat="1" x14ac:dyDescent="0.2">
      <c r="D332" s="173"/>
      <c r="E332" s="173"/>
      <c r="F332" s="173"/>
      <c r="G332" s="173"/>
      <c r="J332" s="174"/>
      <c r="K332" s="173"/>
      <c r="L332" s="173"/>
    </row>
    <row r="333" spans="4:12" s="170" customFormat="1" x14ac:dyDescent="0.2">
      <c r="D333" s="173"/>
      <c r="E333" s="173"/>
      <c r="F333" s="173"/>
      <c r="G333" s="173"/>
      <c r="J333" s="174"/>
      <c r="K333" s="173"/>
      <c r="L333" s="173"/>
    </row>
    <row r="334" spans="4:12" s="170" customFormat="1" x14ac:dyDescent="0.2">
      <c r="D334" s="173"/>
      <c r="E334" s="173"/>
      <c r="F334" s="173"/>
      <c r="G334" s="173"/>
      <c r="J334" s="174"/>
      <c r="K334" s="173"/>
      <c r="L334" s="173"/>
    </row>
    <row r="335" spans="4:12" s="170" customFormat="1" x14ac:dyDescent="0.2">
      <c r="D335" s="173"/>
      <c r="E335" s="173"/>
      <c r="F335" s="173"/>
      <c r="G335" s="173"/>
      <c r="J335" s="174"/>
      <c r="K335" s="173"/>
      <c r="L335" s="173"/>
    </row>
    <row r="336" spans="4:12" s="170" customFormat="1" x14ac:dyDescent="0.2">
      <c r="D336" s="173"/>
      <c r="E336" s="173"/>
      <c r="F336" s="173"/>
      <c r="G336" s="173"/>
      <c r="J336" s="174"/>
      <c r="K336" s="173"/>
      <c r="L336" s="173"/>
    </row>
    <row r="337" spans="4:12" s="170" customFormat="1" x14ac:dyDescent="0.2">
      <c r="D337" s="173"/>
      <c r="E337" s="173"/>
      <c r="F337" s="173"/>
      <c r="G337" s="173"/>
      <c r="J337" s="174"/>
      <c r="K337" s="173"/>
      <c r="L337" s="173"/>
    </row>
    <row r="338" spans="4:12" s="170" customFormat="1" x14ac:dyDescent="0.2">
      <c r="D338" s="173"/>
      <c r="E338" s="173"/>
      <c r="F338" s="173"/>
      <c r="G338" s="173"/>
      <c r="J338" s="174"/>
      <c r="K338" s="173"/>
      <c r="L338" s="173"/>
    </row>
    <row r="339" spans="4:12" s="170" customFormat="1" x14ac:dyDescent="0.2">
      <c r="D339" s="173"/>
      <c r="E339" s="173"/>
      <c r="F339" s="173"/>
      <c r="G339" s="173"/>
      <c r="J339" s="174"/>
      <c r="K339" s="173"/>
      <c r="L339" s="173"/>
    </row>
    <row r="340" spans="4:12" s="170" customFormat="1" x14ac:dyDescent="0.2">
      <c r="D340" s="173"/>
      <c r="E340" s="173"/>
      <c r="F340" s="173"/>
      <c r="G340" s="173"/>
      <c r="J340" s="174"/>
      <c r="K340" s="173"/>
      <c r="L340" s="173"/>
    </row>
    <row r="341" spans="4:12" s="170" customFormat="1" x14ac:dyDescent="0.2">
      <c r="D341" s="173"/>
      <c r="E341" s="173"/>
      <c r="F341" s="173"/>
      <c r="G341" s="173"/>
      <c r="J341" s="174"/>
      <c r="K341" s="173"/>
      <c r="L341" s="173"/>
    </row>
    <row r="342" spans="4:12" s="170" customFormat="1" x14ac:dyDescent="0.2">
      <c r="D342" s="173"/>
      <c r="E342" s="173"/>
      <c r="F342" s="173"/>
      <c r="G342" s="173"/>
      <c r="J342" s="174"/>
      <c r="K342" s="173"/>
      <c r="L342" s="173"/>
    </row>
    <row r="343" spans="4:12" s="170" customFormat="1" x14ac:dyDescent="0.2">
      <c r="D343" s="173"/>
      <c r="E343" s="173"/>
      <c r="F343" s="173"/>
      <c r="G343" s="173"/>
      <c r="J343" s="174"/>
      <c r="K343" s="173"/>
      <c r="L343" s="173"/>
    </row>
    <row r="344" spans="4:12" s="170" customFormat="1" x14ac:dyDescent="0.2">
      <c r="D344" s="173"/>
      <c r="E344" s="173"/>
      <c r="F344" s="173"/>
      <c r="G344" s="173"/>
      <c r="J344" s="174"/>
      <c r="K344" s="173"/>
      <c r="L344" s="173"/>
    </row>
    <row r="345" spans="4:12" s="170" customFormat="1" x14ac:dyDescent="0.2">
      <c r="D345" s="173"/>
      <c r="E345" s="173"/>
      <c r="F345" s="173"/>
      <c r="G345" s="173"/>
      <c r="J345" s="174"/>
      <c r="K345" s="173"/>
      <c r="L345" s="173"/>
    </row>
    <row r="346" spans="4:12" s="170" customFormat="1" x14ac:dyDescent="0.2">
      <c r="D346" s="173"/>
      <c r="E346" s="173"/>
      <c r="F346" s="173"/>
      <c r="G346" s="173"/>
      <c r="J346" s="174"/>
      <c r="K346" s="173"/>
      <c r="L346" s="173"/>
    </row>
    <row r="347" spans="4:12" s="170" customFormat="1" x14ac:dyDescent="0.2">
      <c r="D347" s="173"/>
      <c r="E347" s="173"/>
      <c r="F347" s="173"/>
      <c r="G347" s="173"/>
      <c r="J347" s="174"/>
      <c r="K347" s="173"/>
      <c r="L347" s="173"/>
    </row>
    <row r="348" spans="4:12" s="170" customFormat="1" x14ac:dyDescent="0.2">
      <c r="D348" s="173"/>
      <c r="E348" s="173"/>
      <c r="F348" s="173"/>
      <c r="G348" s="173"/>
      <c r="J348" s="174"/>
      <c r="K348" s="173"/>
      <c r="L348" s="173"/>
    </row>
    <row r="349" spans="4:12" s="170" customFormat="1" x14ac:dyDescent="0.2">
      <c r="D349" s="173"/>
      <c r="E349" s="173"/>
      <c r="F349" s="173"/>
      <c r="G349" s="173"/>
      <c r="J349" s="174"/>
      <c r="K349" s="173"/>
      <c r="L349" s="173"/>
    </row>
    <row r="350" spans="4:12" s="170" customFormat="1" x14ac:dyDescent="0.2">
      <c r="D350" s="173"/>
      <c r="E350" s="173"/>
      <c r="F350" s="173"/>
      <c r="G350" s="173"/>
      <c r="J350" s="174"/>
      <c r="K350" s="173"/>
      <c r="L350" s="173"/>
    </row>
    <row r="351" spans="4:12" s="170" customFormat="1" x14ac:dyDescent="0.2">
      <c r="D351" s="173"/>
      <c r="E351" s="173"/>
      <c r="F351" s="173"/>
      <c r="G351" s="173"/>
      <c r="J351" s="174"/>
      <c r="K351" s="173"/>
      <c r="L351" s="173"/>
    </row>
    <row r="352" spans="4:12" s="170" customFormat="1" x14ac:dyDescent="0.2">
      <c r="D352" s="173"/>
      <c r="E352" s="173"/>
      <c r="F352" s="173"/>
      <c r="G352" s="173"/>
      <c r="J352" s="174"/>
      <c r="K352" s="173"/>
      <c r="L352" s="173"/>
    </row>
    <row r="353" spans="4:12" s="170" customFormat="1" x14ac:dyDescent="0.2">
      <c r="D353" s="173"/>
      <c r="E353" s="173"/>
      <c r="F353" s="173"/>
      <c r="G353" s="173"/>
      <c r="J353" s="174"/>
      <c r="K353" s="173"/>
      <c r="L353" s="173"/>
    </row>
    <row r="354" spans="4:12" s="170" customFormat="1" x14ac:dyDescent="0.2">
      <c r="D354" s="173"/>
      <c r="E354" s="173"/>
      <c r="F354" s="173"/>
      <c r="G354" s="173"/>
      <c r="J354" s="174"/>
      <c r="K354" s="173"/>
      <c r="L354" s="173"/>
    </row>
    <row r="355" spans="4:12" s="170" customFormat="1" x14ac:dyDescent="0.2">
      <c r="D355" s="173"/>
      <c r="E355" s="173"/>
      <c r="F355" s="173"/>
      <c r="G355" s="173"/>
      <c r="J355" s="174"/>
      <c r="K355" s="173"/>
      <c r="L355" s="173"/>
    </row>
    <row r="356" spans="4:12" s="170" customFormat="1" x14ac:dyDescent="0.2">
      <c r="D356" s="173"/>
      <c r="E356" s="173"/>
      <c r="F356" s="173"/>
      <c r="G356" s="173"/>
      <c r="J356" s="174"/>
      <c r="K356" s="173"/>
      <c r="L356" s="173"/>
    </row>
    <row r="357" spans="4:12" s="170" customFormat="1" x14ac:dyDescent="0.2">
      <c r="D357" s="173"/>
      <c r="E357" s="173"/>
      <c r="F357" s="173"/>
      <c r="G357" s="173"/>
      <c r="J357" s="174"/>
      <c r="K357" s="173"/>
      <c r="L357" s="173"/>
    </row>
    <row r="358" spans="4:12" s="170" customFormat="1" x14ac:dyDescent="0.2">
      <c r="D358" s="173"/>
      <c r="E358" s="173"/>
      <c r="F358" s="173"/>
      <c r="G358" s="173"/>
      <c r="J358" s="174"/>
      <c r="K358" s="173"/>
      <c r="L358" s="173"/>
    </row>
    <row r="359" spans="4:12" s="170" customFormat="1" x14ac:dyDescent="0.2">
      <c r="D359" s="173"/>
      <c r="E359" s="173"/>
      <c r="F359" s="173"/>
      <c r="G359" s="173"/>
      <c r="J359" s="174"/>
      <c r="K359" s="173"/>
      <c r="L359" s="173"/>
    </row>
    <row r="360" spans="4:12" s="170" customFormat="1" x14ac:dyDescent="0.2">
      <c r="D360" s="173"/>
      <c r="E360" s="173"/>
      <c r="F360" s="173"/>
      <c r="G360" s="173"/>
      <c r="J360" s="174"/>
      <c r="K360" s="173"/>
      <c r="L360" s="173"/>
    </row>
    <row r="361" spans="4:12" s="170" customFormat="1" x14ac:dyDescent="0.2">
      <c r="D361" s="173"/>
      <c r="E361" s="173"/>
      <c r="F361" s="173"/>
      <c r="G361" s="173"/>
      <c r="J361" s="174"/>
      <c r="K361" s="173"/>
      <c r="L361" s="173"/>
    </row>
    <row r="362" spans="4:12" s="170" customFormat="1" x14ac:dyDescent="0.2">
      <c r="D362" s="173"/>
      <c r="E362" s="173"/>
      <c r="F362" s="173"/>
      <c r="G362" s="173"/>
      <c r="J362" s="174"/>
      <c r="K362" s="173"/>
      <c r="L362" s="173"/>
    </row>
    <row r="363" spans="4:12" s="170" customFormat="1" x14ac:dyDescent="0.2">
      <c r="D363" s="173"/>
      <c r="E363" s="173"/>
      <c r="F363" s="173"/>
      <c r="G363" s="173"/>
      <c r="J363" s="174"/>
      <c r="K363" s="173"/>
      <c r="L363" s="173"/>
    </row>
    <row r="364" spans="4:12" s="170" customFormat="1" x14ac:dyDescent="0.2">
      <c r="D364" s="173"/>
      <c r="E364" s="173"/>
      <c r="F364" s="173"/>
      <c r="G364" s="173"/>
      <c r="J364" s="174"/>
      <c r="K364" s="173"/>
      <c r="L364" s="173"/>
    </row>
    <row r="365" spans="4:12" s="170" customFormat="1" x14ac:dyDescent="0.2">
      <c r="D365" s="173"/>
      <c r="E365" s="173"/>
      <c r="F365" s="173"/>
      <c r="G365" s="173"/>
      <c r="J365" s="174"/>
      <c r="K365" s="173"/>
      <c r="L365" s="173"/>
    </row>
    <row r="366" spans="4:12" s="170" customFormat="1" x14ac:dyDescent="0.2">
      <c r="D366" s="173"/>
      <c r="E366" s="173"/>
      <c r="F366" s="173"/>
      <c r="G366" s="173"/>
      <c r="J366" s="174"/>
      <c r="K366" s="173"/>
      <c r="L366" s="173"/>
    </row>
    <row r="367" spans="4:12" s="170" customFormat="1" x14ac:dyDescent="0.2">
      <c r="D367" s="173"/>
      <c r="E367" s="173"/>
      <c r="F367" s="173"/>
      <c r="G367" s="173"/>
      <c r="J367" s="174"/>
      <c r="K367" s="173"/>
      <c r="L367" s="173"/>
    </row>
    <row r="368" spans="4:12" s="170" customFormat="1" x14ac:dyDescent="0.2">
      <c r="D368" s="173"/>
      <c r="E368" s="173"/>
      <c r="F368" s="173"/>
      <c r="G368" s="173"/>
      <c r="J368" s="174"/>
      <c r="K368" s="173"/>
      <c r="L368" s="173"/>
    </row>
    <row r="369" spans="4:12" s="170" customFormat="1" x14ac:dyDescent="0.2">
      <c r="D369" s="173"/>
      <c r="E369" s="173"/>
      <c r="F369" s="173"/>
      <c r="G369" s="173"/>
      <c r="J369" s="174"/>
      <c r="K369" s="173"/>
      <c r="L369" s="173"/>
    </row>
    <row r="370" spans="4:12" s="170" customFormat="1" x14ac:dyDescent="0.2">
      <c r="D370" s="173"/>
      <c r="E370" s="173"/>
      <c r="F370" s="173"/>
      <c r="G370" s="173"/>
      <c r="J370" s="174"/>
      <c r="K370" s="173"/>
      <c r="L370" s="173"/>
    </row>
    <row r="371" spans="4:12" s="170" customFormat="1" x14ac:dyDescent="0.2">
      <c r="D371" s="173"/>
      <c r="E371" s="173"/>
      <c r="F371" s="173"/>
      <c r="G371" s="173"/>
      <c r="J371" s="174"/>
      <c r="K371" s="173"/>
      <c r="L371" s="173"/>
    </row>
    <row r="372" spans="4:12" s="170" customFormat="1" x14ac:dyDescent="0.2">
      <c r="D372" s="173"/>
      <c r="E372" s="173"/>
      <c r="F372" s="173"/>
      <c r="G372" s="173"/>
      <c r="J372" s="174"/>
      <c r="K372" s="173"/>
      <c r="L372" s="173"/>
    </row>
    <row r="373" spans="4:12" s="170" customFormat="1" x14ac:dyDescent="0.2">
      <c r="D373" s="173"/>
      <c r="E373" s="173"/>
      <c r="F373" s="173"/>
      <c r="G373" s="173"/>
      <c r="J373" s="174"/>
      <c r="K373" s="173"/>
      <c r="L373" s="173"/>
    </row>
    <row r="374" spans="4:12" s="170" customFormat="1" x14ac:dyDescent="0.2">
      <c r="D374" s="173"/>
      <c r="E374" s="173"/>
      <c r="F374" s="173"/>
      <c r="G374" s="173"/>
      <c r="J374" s="174"/>
      <c r="K374" s="173"/>
      <c r="L374" s="173"/>
    </row>
    <row r="375" spans="4:12" s="170" customFormat="1" x14ac:dyDescent="0.2">
      <c r="D375" s="173"/>
      <c r="E375" s="173"/>
      <c r="F375" s="173"/>
      <c r="G375" s="173"/>
      <c r="J375" s="174"/>
      <c r="K375" s="173"/>
      <c r="L375" s="173"/>
    </row>
    <row r="376" spans="4:12" s="170" customFormat="1" x14ac:dyDescent="0.2">
      <c r="D376" s="173"/>
      <c r="E376" s="173"/>
      <c r="F376" s="173"/>
      <c r="G376" s="173"/>
      <c r="J376" s="174"/>
      <c r="K376" s="173"/>
      <c r="L376" s="173"/>
    </row>
    <row r="377" spans="4:12" s="170" customFormat="1" x14ac:dyDescent="0.2">
      <c r="D377" s="173"/>
      <c r="E377" s="173"/>
      <c r="F377" s="173"/>
      <c r="G377" s="173"/>
      <c r="J377" s="174"/>
      <c r="K377" s="173"/>
      <c r="L377" s="173"/>
    </row>
    <row r="378" spans="4:12" s="170" customFormat="1" x14ac:dyDescent="0.2">
      <c r="D378" s="173"/>
      <c r="E378" s="173"/>
      <c r="F378" s="173"/>
      <c r="G378" s="173"/>
      <c r="J378" s="174"/>
      <c r="K378" s="173"/>
      <c r="L378" s="173"/>
    </row>
    <row r="379" spans="4:12" s="170" customFormat="1" x14ac:dyDescent="0.2">
      <c r="D379" s="173"/>
      <c r="E379" s="173"/>
      <c r="F379" s="173"/>
      <c r="G379" s="173"/>
      <c r="J379" s="174"/>
      <c r="K379" s="173"/>
      <c r="L379" s="173"/>
    </row>
    <row r="380" spans="4:12" s="170" customFormat="1" x14ac:dyDescent="0.2">
      <c r="D380" s="173"/>
      <c r="E380" s="173"/>
      <c r="F380" s="173"/>
      <c r="G380" s="173"/>
      <c r="J380" s="174"/>
      <c r="K380" s="173"/>
      <c r="L380" s="173"/>
    </row>
    <row r="381" spans="4:12" s="170" customFormat="1" x14ac:dyDescent="0.2">
      <c r="D381" s="173"/>
      <c r="E381" s="173"/>
      <c r="F381" s="173"/>
      <c r="G381" s="173"/>
      <c r="J381" s="174"/>
      <c r="K381" s="173"/>
      <c r="L381" s="173"/>
    </row>
    <row r="382" spans="4:12" s="170" customFormat="1" x14ac:dyDescent="0.2">
      <c r="D382" s="173"/>
      <c r="E382" s="173"/>
      <c r="F382" s="173"/>
      <c r="G382" s="173"/>
      <c r="J382" s="174"/>
      <c r="K382" s="173"/>
      <c r="L382" s="173"/>
    </row>
    <row r="383" spans="4:12" s="170" customFormat="1" x14ac:dyDescent="0.2">
      <c r="D383" s="173"/>
      <c r="E383" s="173"/>
      <c r="F383" s="173"/>
      <c r="G383" s="173"/>
      <c r="J383" s="174"/>
      <c r="K383" s="173"/>
      <c r="L383" s="173"/>
    </row>
    <row r="384" spans="4:12" s="170" customFormat="1" x14ac:dyDescent="0.2">
      <c r="D384" s="173"/>
      <c r="E384" s="173"/>
      <c r="F384" s="173"/>
      <c r="G384" s="173"/>
      <c r="J384" s="174"/>
      <c r="K384" s="173"/>
      <c r="L384" s="173"/>
    </row>
    <row r="385" spans="4:12" s="170" customFormat="1" x14ac:dyDescent="0.2">
      <c r="D385" s="173"/>
      <c r="E385" s="173"/>
      <c r="F385" s="173"/>
      <c r="G385" s="173"/>
      <c r="J385" s="174"/>
      <c r="K385" s="173"/>
      <c r="L385" s="173"/>
    </row>
    <row r="386" spans="4:12" s="170" customFormat="1" x14ac:dyDescent="0.2">
      <c r="D386" s="173"/>
      <c r="E386" s="173"/>
      <c r="F386" s="173"/>
      <c r="G386" s="173"/>
      <c r="J386" s="174"/>
      <c r="K386" s="173"/>
      <c r="L386" s="173"/>
    </row>
    <row r="387" spans="4:12" s="170" customFormat="1" x14ac:dyDescent="0.2">
      <c r="D387" s="173"/>
      <c r="E387" s="173"/>
      <c r="F387" s="173"/>
      <c r="G387" s="173"/>
      <c r="J387" s="174"/>
      <c r="K387" s="173"/>
      <c r="L387" s="173"/>
    </row>
    <row r="388" spans="4:12" s="170" customFormat="1" x14ac:dyDescent="0.2">
      <c r="D388" s="173"/>
      <c r="E388" s="173"/>
      <c r="F388" s="173"/>
      <c r="G388" s="173"/>
      <c r="J388" s="174"/>
      <c r="K388" s="173"/>
      <c r="L388" s="173"/>
    </row>
    <row r="389" spans="4:12" s="170" customFormat="1" x14ac:dyDescent="0.2">
      <c r="D389" s="173"/>
      <c r="E389" s="173"/>
      <c r="F389" s="173"/>
      <c r="G389" s="173"/>
      <c r="J389" s="174"/>
      <c r="K389" s="173"/>
      <c r="L389" s="173"/>
    </row>
    <row r="390" spans="4:12" s="170" customFormat="1" x14ac:dyDescent="0.2">
      <c r="D390" s="173"/>
      <c r="E390" s="173"/>
      <c r="F390" s="173"/>
      <c r="G390" s="173"/>
      <c r="J390" s="174"/>
      <c r="K390" s="173"/>
      <c r="L390" s="173"/>
    </row>
    <row r="391" spans="4:12" s="170" customFormat="1" x14ac:dyDescent="0.2">
      <c r="D391" s="173"/>
      <c r="E391" s="173"/>
      <c r="F391" s="173"/>
      <c r="G391" s="173"/>
      <c r="J391" s="174"/>
      <c r="K391" s="173"/>
      <c r="L391" s="173"/>
    </row>
    <row r="392" spans="4:12" s="170" customFormat="1" x14ac:dyDescent="0.2">
      <c r="D392" s="173"/>
      <c r="E392" s="173"/>
      <c r="F392" s="173"/>
      <c r="G392" s="173"/>
      <c r="J392" s="174"/>
      <c r="K392" s="173"/>
      <c r="L392" s="173"/>
    </row>
    <row r="393" spans="4:12" s="170" customFormat="1" x14ac:dyDescent="0.2">
      <c r="D393" s="173"/>
      <c r="E393" s="173"/>
      <c r="F393" s="173"/>
      <c r="G393" s="173"/>
      <c r="J393" s="174"/>
      <c r="K393" s="173"/>
      <c r="L393" s="173"/>
    </row>
    <row r="394" spans="4:12" s="170" customFormat="1" x14ac:dyDescent="0.2">
      <c r="D394" s="173"/>
      <c r="E394" s="173"/>
      <c r="F394" s="173"/>
      <c r="G394" s="173"/>
      <c r="J394" s="174"/>
      <c r="K394" s="173"/>
      <c r="L394" s="173"/>
    </row>
    <row r="395" spans="4:12" s="170" customFormat="1" x14ac:dyDescent="0.2">
      <c r="D395" s="173"/>
      <c r="E395" s="173"/>
      <c r="F395" s="173"/>
      <c r="G395" s="173"/>
      <c r="J395" s="174"/>
      <c r="K395" s="173"/>
      <c r="L395" s="173"/>
    </row>
    <row r="396" spans="4:12" s="170" customFormat="1" x14ac:dyDescent="0.2">
      <c r="D396" s="173"/>
      <c r="E396" s="173"/>
      <c r="F396" s="173"/>
      <c r="G396" s="173"/>
      <c r="J396" s="174"/>
      <c r="K396" s="173"/>
      <c r="L396" s="173"/>
    </row>
    <row r="397" spans="4:12" s="170" customFormat="1" x14ac:dyDescent="0.2">
      <c r="D397" s="173"/>
      <c r="E397" s="173"/>
      <c r="F397" s="173"/>
      <c r="G397" s="173"/>
      <c r="J397" s="174"/>
      <c r="K397" s="173"/>
      <c r="L397" s="173"/>
    </row>
    <row r="398" spans="4:12" s="170" customFormat="1" x14ac:dyDescent="0.2">
      <c r="D398" s="173"/>
      <c r="E398" s="173"/>
      <c r="F398" s="173"/>
      <c r="G398" s="173"/>
      <c r="J398" s="174"/>
      <c r="K398" s="173"/>
      <c r="L398" s="173"/>
    </row>
    <row r="399" spans="4:12" s="170" customFormat="1" x14ac:dyDescent="0.2">
      <c r="D399" s="173"/>
      <c r="E399" s="173"/>
      <c r="F399" s="173"/>
      <c r="G399" s="173"/>
      <c r="J399" s="174"/>
      <c r="K399" s="173"/>
      <c r="L399" s="173"/>
    </row>
    <row r="400" spans="4:12" s="170" customFormat="1" x14ac:dyDescent="0.2">
      <c r="D400" s="173"/>
      <c r="E400" s="173"/>
      <c r="F400" s="173"/>
      <c r="G400" s="173"/>
      <c r="J400" s="174"/>
      <c r="K400" s="173"/>
      <c r="L400" s="173"/>
    </row>
    <row r="401" spans="4:12" s="170" customFormat="1" x14ac:dyDescent="0.2">
      <c r="D401" s="173"/>
      <c r="E401" s="173"/>
      <c r="F401" s="173"/>
      <c r="G401" s="173"/>
      <c r="J401" s="174"/>
      <c r="K401" s="173"/>
      <c r="L401" s="173"/>
    </row>
    <row r="402" spans="4:12" s="170" customFormat="1" x14ac:dyDescent="0.2">
      <c r="D402" s="173"/>
      <c r="E402" s="173"/>
      <c r="F402" s="173"/>
      <c r="G402" s="173"/>
      <c r="J402" s="174"/>
      <c r="K402" s="173"/>
      <c r="L402" s="173"/>
    </row>
    <row r="403" spans="4:12" s="170" customFormat="1" x14ac:dyDescent="0.2">
      <c r="D403" s="173"/>
      <c r="E403" s="173"/>
      <c r="F403" s="173"/>
      <c r="G403" s="173"/>
      <c r="J403" s="174"/>
      <c r="K403" s="173"/>
      <c r="L403" s="173"/>
    </row>
    <row r="404" spans="4:12" s="170" customFormat="1" x14ac:dyDescent="0.2">
      <c r="D404" s="173"/>
      <c r="E404" s="173"/>
      <c r="F404" s="173"/>
      <c r="G404" s="173"/>
      <c r="J404" s="174"/>
      <c r="K404" s="173"/>
      <c r="L404" s="173"/>
    </row>
    <row r="405" spans="4:12" s="170" customFormat="1" x14ac:dyDescent="0.2">
      <c r="D405" s="173"/>
      <c r="E405" s="173"/>
      <c r="F405" s="173"/>
      <c r="G405" s="173"/>
      <c r="J405" s="174"/>
      <c r="K405" s="173"/>
      <c r="L405" s="173"/>
    </row>
    <row r="406" spans="4:12" s="170" customFormat="1" x14ac:dyDescent="0.2">
      <c r="D406" s="173"/>
      <c r="E406" s="173"/>
      <c r="F406" s="173"/>
      <c r="G406" s="173"/>
      <c r="J406" s="174"/>
      <c r="K406" s="173"/>
      <c r="L406" s="173"/>
    </row>
    <row r="407" spans="4:12" s="170" customFormat="1" x14ac:dyDescent="0.2">
      <c r="D407" s="173"/>
      <c r="E407" s="173"/>
      <c r="F407" s="173"/>
      <c r="G407" s="173"/>
      <c r="J407" s="174"/>
      <c r="K407" s="173"/>
      <c r="L407" s="173"/>
    </row>
    <row r="408" spans="4:12" s="170" customFormat="1" x14ac:dyDescent="0.2">
      <c r="D408" s="173"/>
      <c r="E408" s="173"/>
      <c r="F408" s="173"/>
      <c r="G408" s="173"/>
      <c r="J408" s="174"/>
      <c r="K408" s="173"/>
      <c r="L408" s="173"/>
    </row>
    <row r="409" spans="4:12" s="170" customFormat="1" x14ac:dyDescent="0.2">
      <c r="D409" s="173"/>
      <c r="E409" s="173"/>
      <c r="F409" s="173"/>
      <c r="G409" s="173"/>
      <c r="J409" s="174"/>
      <c r="K409" s="173"/>
      <c r="L409" s="173"/>
    </row>
    <row r="410" spans="4:12" s="170" customFormat="1" x14ac:dyDescent="0.2">
      <c r="D410" s="173"/>
      <c r="E410" s="173"/>
      <c r="F410" s="173"/>
      <c r="G410" s="173"/>
      <c r="J410" s="174"/>
      <c r="K410" s="173"/>
      <c r="L410" s="173"/>
    </row>
    <row r="411" spans="4:12" s="170" customFormat="1" x14ac:dyDescent="0.2">
      <c r="D411" s="173"/>
      <c r="E411" s="173"/>
      <c r="F411" s="173"/>
      <c r="G411" s="173"/>
      <c r="J411" s="174"/>
      <c r="K411" s="173"/>
      <c r="L411" s="173"/>
    </row>
    <row r="412" spans="4:12" s="170" customFormat="1" x14ac:dyDescent="0.2">
      <c r="D412" s="173"/>
      <c r="E412" s="173"/>
      <c r="F412" s="173"/>
      <c r="G412" s="173"/>
      <c r="J412" s="174"/>
      <c r="K412" s="173"/>
      <c r="L412" s="173"/>
    </row>
    <row r="413" spans="4:12" s="170" customFormat="1" x14ac:dyDescent="0.2">
      <c r="D413" s="173"/>
      <c r="E413" s="173"/>
      <c r="F413" s="173"/>
      <c r="G413" s="173"/>
      <c r="J413" s="174"/>
      <c r="K413" s="173"/>
      <c r="L413" s="173"/>
    </row>
    <row r="414" spans="4:12" s="170" customFormat="1" x14ac:dyDescent="0.2">
      <c r="D414" s="173"/>
      <c r="E414" s="173"/>
      <c r="F414" s="173"/>
      <c r="G414" s="173"/>
      <c r="J414" s="174"/>
      <c r="K414" s="173"/>
      <c r="L414" s="173"/>
    </row>
    <row r="415" spans="4:12" s="170" customFormat="1" x14ac:dyDescent="0.2">
      <c r="D415" s="173"/>
      <c r="E415" s="173"/>
      <c r="F415" s="173"/>
      <c r="G415" s="173"/>
      <c r="J415" s="174"/>
      <c r="K415" s="173"/>
      <c r="L415" s="173"/>
    </row>
    <row r="416" spans="4:12" s="170" customFormat="1" x14ac:dyDescent="0.2">
      <c r="D416" s="173"/>
      <c r="E416" s="173"/>
      <c r="F416" s="173"/>
      <c r="G416" s="173"/>
      <c r="J416" s="174"/>
      <c r="K416" s="173"/>
      <c r="L416" s="173"/>
    </row>
    <row r="417" spans="4:12" s="170" customFormat="1" x14ac:dyDescent="0.2">
      <c r="D417" s="173"/>
      <c r="E417" s="173"/>
      <c r="F417" s="173"/>
      <c r="G417" s="173"/>
      <c r="J417" s="174"/>
      <c r="K417" s="173"/>
      <c r="L417" s="173"/>
    </row>
    <row r="418" spans="4:12" s="170" customFormat="1" x14ac:dyDescent="0.2">
      <c r="D418" s="173"/>
      <c r="E418" s="173"/>
      <c r="F418" s="173"/>
      <c r="G418" s="173"/>
      <c r="J418" s="174"/>
      <c r="K418" s="173"/>
      <c r="L418" s="173"/>
    </row>
    <row r="419" spans="4:12" s="170" customFormat="1" x14ac:dyDescent="0.2">
      <c r="D419" s="173"/>
      <c r="E419" s="173"/>
      <c r="F419" s="173"/>
      <c r="G419" s="173"/>
      <c r="J419" s="174"/>
      <c r="K419" s="173"/>
      <c r="L419" s="173"/>
    </row>
    <row r="420" spans="4:12" s="170" customFormat="1" x14ac:dyDescent="0.2">
      <c r="D420" s="173"/>
      <c r="E420" s="173"/>
      <c r="F420" s="173"/>
      <c r="G420" s="173"/>
      <c r="J420" s="174"/>
      <c r="K420" s="173"/>
      <c r="L420" s="173"/>
    </row>
    <row r="421" spans="4:12" s="170" customFormat="1" x14ac:dyDescent="0.2">
      <c r="D421" s="173"/>
      <c r="E421" s="173"/>
      <c r="F421" s="173"/>
      <c r="G421" s="173"/>
      <c r="J421" s="174"/>
      <c r="K421" s="173"/>
      <c r="L421" s="173"/>
    </row>
    <row r="422" spans="4:12" s="170" customFormat="1" x14ac:dyDescent="0.2">
      <c r="D422" s="173"/>
      <c r="E422" s="173"/>
      <c r="F422" s="173"/>
      <c r="G422" s="173"/>
      <c r="J422" s="174"/>
      <c r="K422" s="173"/>
      <c r="L422" s="173"/>
    </row>
    <row r="423" spans="4:12" s="170" customFormat="1" x14ac:dyDescent="0.2">
      <c r="D423" s="173"/>
      <c r="E423" s="173"/>
      <c r="F423" s="173"/>
      <c r="G423" s="173"/>
      <c r="J423" s="174"/>
      <c r="K423" s="173"/>
      <c r="L423" s="173"/>
    </row>
    <row r="424" spans="4:12" s="170" customFormat="1" x14ac:dyDescent="0.2">
      <c r="D424" s="173"/>
      <c r="E424" s="173"/>
      <c r="F424" s="173"/>
      <c r="G424" s="173"/>
      <c r="J424" s="174"/>
      <c r="K424" s="173"/>
      <c r="L424" s="173"/>
    </row>
    <row r="425" spans="4:12" s="170" customFormat="1" x14ac:dyDescent="0.2">
      <c r="D425" s="173"/>
      <c r="E425" s="173"/>
      <c r="F425" s="173"/>
      <c r="G425" s="173"/>
      <c r="J425" s="174"/>
      <c r="K425" s="173"/>
      <c r="L425" s="173"/>
    </row>
    <row r="426" spans="4:12" s="170" customFormat="1" x14ac:dyDescent="0.2">
      <c r="D426" s="173"/>
      <c r="E426" s="173"/>
      <c r="F426" s="173"/>
      <c r="G426" s="173"/>
      <c r="J426" s="174"/>
      <c r="K426" s="173"/>
      <c r="L426" s="173"/>
    </row>
    <row r="427" spans="4:12" s="170" customFormat="1" x14ac:dyDescent="0.2">
      <c r="D427" s="173"/>
      <c r="E427" s="173"/>
      <c r="F427" s="173"/>
      <c r="G427" s="173"/>
      <c r="J427" s="174"/>
      <c r="K427" s="173"/>
      <c r="L427" s="173"/>
    </row>
    <row r="428" spans="4:12" s="170" customFormat="1" x14ac:dyDescent="0.2">
      <c r="D428" s="173"/>
      <c r="E428" s="173"/>
      <c r="F428" s="173"/>
      <c r="G428" s="173"/>
      <c r="J428" s="174"/>
      <c r="K428" s="173"/>
      <c r="L428" s="173"/>
    </row>
    <row r="429" spans="4:12" s="170" customFormat="1" x14ac:dyDescent="0.2">
      <c r="D429" s="173"/>
      <c r="E429" s="173"/>
      <c r="F429" s="173"/>
      <c r="G429" s="173"/>
      <c r="J429" s="174"/>
      <c r="K429" s="173"/>
      <c r="L429" s="173"/>
    </row>
    <row r="430" spans="4:12" s="170" customFormat="1" x14ac:dyDescent="0.2">
      <c r="D430" s="173"/>
      <c r="E430" s="173"/>
      <c r="F430" s="173"/>
      <c r="G430" s="173"/>
      <c r="J430" s="174"/>
      <c r="K430" s="173"/>
      <c r="L430" s="173"/>
    </row>
    <row r="431" spans="4:12" s="170" customFormat="1" x14ac:dyDescent="0.2">
      <c r="D431" s="173"/>
      <c r="E431" s="173"/>
      <c r="F431" s="173"/>
      <c r="G431" s="173"/>
      <c r="J431" s="174"/>
      <c r="K431" s="173"/>
      <c r="L431" s="173"/>
    </row>
    <row r="432" spans="4:12" s="170" customFormat="1" x14ac:dyDescent="0.2">
      <c r="D432" s="173"/>
      <c r="E432" s="173"/>
      <c r="F432" s="173"/>
      <c r="G432" s="173"/>
      <c r="J432" s="174"/>
      <c r="K432" s="173"/>
      <c r="L432" s="173"/>
    </row>
    <row r="433" spans="4:12" s="170" customFormat="1" x14ac:dyDescent="0.2">
      <c r="D433" s="173"/>
      <c r="E433" s="173"/>
      <c r="F433" s="173"/>
      <c r="G433" s="173"/>
      <c r="J433" s="174"/>
      <c r="K433" s="173"/>
      <c r="L433" s="173"/>
    </row>
    <row r="434" spans="4:12" s="170" customFormat="1" x14ac:dyDescent="0.2">
      <c r="D434" s="173"/>
      <c r="E434" s="173"/>
      <c r="F434" s="173"/>
      <c r="G434" s="173"/>
      <c r="J434" s="174"/>
      <c r="K434" s="173"/>
      <c r="L434" s="173"/>
    </row>
    <row r="435" spans="4:12" s="170" customFormat="1" x14ac:dyDescent="0.2">
      <c r="D435" s="173"/>
      <c r="E435" s="173"/>
      <c r="F435" s="173"/>
      <c r="G435" s="173"/>
      <c r="J435" s="174"/>
      <c r="K435" s="173"/>
      <c r="L435" s="173"/>
    </row>
    <row r="436" spans="4:12" s="170" customFormat="1" x14ac:dyDescent="0.2">
      <c r="D436" s="173"/>
      <c r="E436" s="173"/>
      <c r="F436" s="173"/>
      <c r="G436" s="173"/>
      <c r="J436" s="174"/>
      <c r="K436" s="173"/>
      <c r="L436" s="173"/>
    </row>
    <row r="437" spans="4:12" s="170" customFormat="1" x14ac:dyDescent="0.2">
      <c r="D437" s="173"/>
      <c r="E437" s="173"/>
      <c r="F437" s="173"/>
      <c r="G437" s="173"/>
      <c r="J437" s="174"/>
      <c r="K437" s="173"/>
      <c r="L437" s="173"/>
    </row>
    <row r="438" spans="4:12" s="170" customFormat="1" x14ac:dyDescent="0.2">
      <c r="D438" s="173"/>
      <c r="E438" s="173"/>
      <c r="F438" s="173"/>
      <c r="G438" s="173"/>
      <c r="J438" s="174"/>
      <c r="K438" s="173"/>
      <c r="L438" s="173"/>
    </row>
    <row r="439" spans="4:12" s="170" customFormat="1" x14ac:dyDescent="0.2">
      <c r="D439" s="173"/>
      <c r="E439" s="173"/>
      <c r="F439" s="173"/>
      <c r="G439" s="173"/>
      <c r="J439" s="174"/>
      <c r="K439" s="173"/>
      <c r="L439" s="173"/>
    </row>
    <row r="440" spans="4:12" s="170" customFormat="1" x14ac:dyDescent="0.2">
      <c r="D440" s="173"/>
      <c r="E440" s="173"/>
      <c r="F440" s="173"/>
      <c r="G440" s="173"/>
      <c r="J440" s="174"/>
      <c r="K440" s="173"/>
      <c r="L440" s="173"/>
    </row>
    <row r="441" spans="4:12" s="170" customFormat="1" x14ac:dyDescent="0.2">
      <c r="D441" s="173"/>
      <c r="E441" s="173"/>
      <c r="F441" s="173"/>
      <c r="G441" s="173"/>
      <c r="J441" s="174"/>
      <c r="K441" s="173"/>
      <c r="L441" s="173"/>
    </row>
    <row r="442" spans="4:12" s="170" customFormat="1" x14ac:dyDescent="0.2">
      <c r="D442" s="173"/>
      <c r="E442" s="173"/>
      <c r="F442" s="173"/>
      <c r="G442" s="173"/>
      <c r="J442" s="174"/>
      <c r="K442" s="173"/>
      <c r="L442" s="173"/>
    </row>
    <row r="443" spans="4:12" s="170" customFormat="1" x14ac:dyDescent="0.2">
      <c r="D443" s="173"/>
      <c r="E443" s="173"/>
      <c r="F443" s="173"/>
      <c r="G443" s="173"/>
      <c r="J443" s="174"/>
      <c r="K443" s="173"/>
      <c r="L443" s="173"/>
    </row>
    <row r="444" spans="4:12" s="170" customFormat="1" x14ac:dyDescent="0.2">
      <c r="D444" s="173"/>
      <c r="E444" s="173"/>
      <c r="F444" s="173"/>
      <c r="G444" s="173"/>
      <c r="J444" s="174"/>
      <c r="K444" s="173"/>
      <c r="L444" s="173"/>
    </row>
    <row r="445" spans="4:12" s="170" customFormat="1" x14ac:dyDescent="0.2">
      <c r="D445" s="173"/>
      <c r="E445" s="173"/>
      <c r="F445" s="173"/>
      <c r="G445" s="173"/>
      <c r="J445" s="174"/>
      <c r="K445" s="173"/>
      <c r="L445" s="173"/>
    </row>
    <row r="446" spans="4:12" s="170" customFormat="1" x14ac:dyDescent="0.2">
      <c r="D446" s="173"/>
      <c r="E446" s="173"/>
      <c r="F446" s="173"/>
      <c r="G446" s="173"/>
      <c r="J446" s="174"/>
      <c r="K446" s="173"/>
      <c r="L446" s="173"/>
    </row>
    <row r="447" spans="4:12" s="170" customFormat="1" x14ac:dyDescent="0.2">
      <c r="D447" s="173"/>
      <c r="E447" s="173"/>
      <c r="F447" s="173"/>
      <c r="G447" s="173"/>
      <c r="J447" s="174"/>
      <c r="K447" s="173"/>
      <c r="L447" s="173"/>
    </row>
    <row r="448" spans="4:12" s="170" customFormat="1" x14ac:dyDescent="0.2">
      <c r="D448" s="173"/>
      <c r="E448" s="173"/>
      <c r="F448" s="173"/>
      <c r="G448" s="173"/>
      <c r="J448" s="174"/>
      <c r="K448" s="173"/>
      <c r="L448" s="173"/>
    </row>
    <row r="449" spans="4:12" s="170" customFormat="1" x14ac:dyDescent="0.2">
      <c r="D449" s="173"/>
      <c r="E449" s="173"/>
      <c r="F449" s="173"/>
      <c r="G449" s="173"/>
      <c r="J449" s="174"/>
      <c r="K449" s="173"/>
      <c r="L449" s="173"/>
    </row>
    <row r="450" spans="4:12" s="170" customFormat="1" x14ac:dyDescent="0.2">
      <c r="D450" s="173"/>
      <c r="E450" s="173"/>
      <c r="F450" s="173"/>
      <c r="G450" s="173"/>
      <c r="J450" s="174"/>
      <c r="K450" s="173"/>
      <c r="L450" s="173"/>
    </row>
    <row r="451" spans="4:12" s="170" customFormat="1" x14ac:dyDescent="0.2">
      <c r="D451" s="173"/>
      <c r="E451" s="173"/>
      <c r="F451" s="173"/>
      <c r="G451" s="173"/>
      <c r="J451" s="174"/>
      <c r="K451" s="173"/>
      <c r="L451" s="173"/>
    </row>
    <row r="452" spans="4:12" s="170" customFormat="1" x14ac:dyDescent="0.2">
      <c r="D452" s="173"/>
      <c r="E452" s="173"/>
      <c r="F452" s="173"/>
      <c r="G452" s="173"/>
      <c r="J452" s="174"/>
      <c r="K452" s="173"/>
      <c r="L452" s="173"/>
    </row>
    <row r="453" spans="4:12" s="170" customFormat="1" x14ac:dyDescent="0.2">
      <c r="D453" s="173"/>
      <c r="E453" s="173"/>
      <c r="F453" s="173"/>
      <c r="G453" s="173"/>
      <c r="J453" s="174"/>
      <c r="K453" s="173"/>
      <c r="L453" s="173"/>
    </row>
    <row r="454" spans="4:12" s="170" customFormat="1" x14ac:dyDescent="0.2">
      <c r="D454" s="173"/>
      <c r="E454" s="173"/>
      <c r="F454" s="173"/>
      <c r="G454" s="173"/>
      <c r="J454" s="174"/>
      <c r="K454" s="173"/>
      <c r="L454" s="173"/>
    </row>
    <row r="455" spans="4:12" s="170" customFormat="1" x14ac:dyDescent="0.2">
      <c r="D455" s="173"/>
      <c r="E455" s="173"/>
      <c r="F455" s="173"/>
      <c r="G455" s="173"/>
      <c r="J455" s="174"/>
      <c r="K455" s="173"/>
      <c r="L455" s="173"/>
    </row>
    <row r="456" spans="4:12" s="170" customFormat="1" x14ac:dyDescent="0.2">
      <c r="D456" s="173"/>
      <c r="E456" s="173"/>
      <c r="F456" s="173"/>
      <c r="G456" s="173"/>
      <c r="J456" s="174"/>
      <c r="K456" s="173"/>
      <c r="L456" s="173"/>
    </row>
    <row r="457" spans="4:12" s="170" customFormat="1" x14ac:dyDescent="0.2">
      <c r="D457" s="173"/>
      <c r="E457" s="173"/>
      <c r="F457" s="173"/>
      <c r="G457" s="173"/>
      <c r="J457" s="174"/>
      <c r="K457" s="173"/>
      <c r="L457" s="173"/>
    </row>
    <row r="458" spans="4:12" s="170" customFormat="1" x14ac:dyDescent="0.2">
      <c r="D458" s="173"/>
      <c r="E458" s="173"/>
      <c r="F458" s="173"/>
      <c r="G458" s="173"/>
      <c r="J458" s="174"/>
      <c r="K458" s="173"/>
      <c r="L458" s="173"/>
    </row>
    <row r="459" spans="4:12" s="170" customFormat="1" x14ac:dyDescent="0.2">
      <c r="D459" s="173"/>
      <c r="E459" s="173"/>
      <c r="F459" s="173"/>
      <c r="G459" s="173"/>
      <c r="J459" s="174"/>
      <c r="K459" s="173"/>
      <c r="L459" s="173"/>
    </row>
    <row r="460" spans="4:12" s="170" customFormat="1" x14ac:dyDescent="0.2">
      <c r="D460" s="173"/>
      <c r="E460" s="173"/>
      <c r="F460" s="173"/>
      <c r="G460" s="173"/>
      <c r="J460" s="174"/>
      <c r="K460" s="173"/>
      <c r="L460" s="173"/>
    </row>
    <row r="461" spans="4:12" s="170" customFormat="1" x14ac:dyDescent="0.2">
      <c r="D461" s="173"/>
      <c r="E461" s="173"/>
      <c r="F461" s="173"/>
      <c r="G461" s="173"/>
      <c r="J461" s="174"/>
      <c r="K461" s="173"/>
      <c r="L461" s="173"/>
    </row>
    <row r="462" spans="4:12" s="170" customFormat="1" x14ac:dyDescent="0.2">
      <c r="D462" s="173"/>
      <c r="E462" s="173"/>
      <c r="F462" s="173"/>
      <c r="G462" s="173"/>
      <c r="J462" s="174"/>
      <c r="K462" s="173"/>
      <c r="L462" s="173"/>
    </row>
    <row r="463" spans="4:12" s="170" customFormat="1" x14ac:dyDescent="0.2">
      <c r="D463" s="173"/>
      <c r="E463" s="173"/>
      <c r="F463" s="173"/>
      <c r="G463" s="173"/>
      <c r="J463" s="174"/>
      <c r="K463" s="173"/>
      <c r="L463" s="173"/>
    </row>
    <row r="464" spans="4:12" s="170" customFormat="1" x14ac:dyDescent="0.2">
      <c r="D464" s="173"/>
      <c r="E464" s="173"/>
      <c r="F464" s="173"/>
      <c r="G464" s="173"/>
      <c r="J464" s="174"/>
      <c r="K464" s="173"/>
      <c r="L464" s="173"/>
    </row>
    <row r="465" spans="4:12" s="170" customFormat="1" x14ac:dyDescent="0.2">
      <c r="D465" s="173"/>
      <c r="E465" s="173"/>
      <c r="F465" s="173"/>
      <c r="G465" s="173"/>
      <c r="J465" s="174"/>
      <c r="K465" s="173"/>
      <c r="L465" s="173"/>
    </row>
    <row r="466" spans="4:12" s="170" customFormat="1" x14ac:dyDescent="0.2">
      <c r="D466" s="173"/>
      <c r="E466" s="173"/>
      <c r="F466" s="173"/>
      <c r="G466" s="173"/>
      <c r="J466" s="174"/>
      <c r="K466" s="173"/>
      <c r="L466" s="173"/>
    </row>
    <row r="467" spans="4:12" s="170" customFormat="1" x14ac:dyDescent="0.2">
      <c r="D467" s="173"/>
      <c r="E467" s="173"/>
      <c r="F467" s="173"/>
      <c r="G467" s="173"/>
      <c r="J467" s="174"/>
      <c r="K467" s="173"/>
      <c r="L467" s="173"/>
    </row>
    <row r="468" spans="4:12" s="170" customFormat="1" x14ac:dyDescent="0.2">
      <c r="D468" s="173"/>
      <c r="E468" s="173"/>
      <c r="F468" s="173"/>
      <c r="G468" s="173"/>
      <c r="J468" s="174"/>
      <c r="K468" s="173"/>
      <c r="L468" s="173"/>
    </row>
    <row r="469" spans="4:12" s="170" customFormat="1" x14ac:dyDescent="0.2">
      <c r="D469" s="173"/>
      <c r="E469" s="173"/>
      <c r="F469" s="173"/>
      <c r="G469" s="173"/>
      <c r="J469" s="174"/>
      <c r="K469" s="173"/>
      <c r="L469" s="173"/>
    </row>
    <row r="470" spans="4:12" s="170" customFormat="1" x14ac:dyDescent="0.2">
      <c r="D470" s="173"/>
      <c r="E470" s="173"/>
      <c r="F470" s="173"/>
      <c r="G470" s="173"/>
      <c r="J470" s="174"/>
      <c r="K470" s="173"/>
      <c r="L470" s="173"/>
    </row>
    <row r="471" spans="4:12" s="170" customFormat="1" x14ac:dyDescent="0.2">
      <c r="D471" s="173"/>
      <c r="E471" s="173"/>
      <c r="F471" s="173"/>
      <c r="G471" s="173"/>
      <c r="J471" s="174"/>
      <c r="K471" s="173"/>
      <c r="L471" s="173"/>
    </row>
    <row r="472" spans="4:12" s="170" customFormat="1" x14ac:dyDescent="0.2">
      <c r="D472" s="173"/>
      <c r="E472" s="173"/>
      <c r="F472" s="173"/>
      <c r="G472" s="173"/>
      <c r="J472" s="174"/>
      <c r="K472" s="173"/>
      <c r="L472" s="173"/>
    </row>
    <row r="473" spans="4:12" s="170" customFormat="1" x14ac:dyDescent="0.2">
      <c r="D473" s="173"/>
      <c r="E473" s="173"/>
      <c r="F473" s="173"/>
      <c r="G473" s="173"/>
      <c r="J473" s="174"/>
      <c r="K473" s="173"/>
      <c r="L473" s="173"/>
    </row>
    <row r="474" spans="4:12" s="170" customFormat="1" x14ac:dyDescent="0.2">
      <c r="D474" s="173"/>
      <c r="E474" s="173"/>
      <c r="F474" s="173"/>
      <c r="G474" s="173"/>
      <c r="J474" s="174"/>
      <c r="K474" s="173"/>
      <c r="L474" s="173"/>
    </row>
    <row r="475" spans="4:12" s="170" customFormat="1" x14ac:dyDescent="0.2">
      <c r="D475" s="173"/>
      <c r="E475" s="173"/>
      <c r="F475" s="173"/>
      <c r="G475" s="173"/>
      <c r="J475" s="174"/>
      <c r="K475" s="173"/>
      <c r="L475" s="173"/>
    </row>
    <row r="476" spans="4:12" s="170" customFormat="1" x14ac:dyDescent="0.2">
      <c r="D476" s="173"/>
      <c r="E476" s="173"/>
      <c r="F476" s="173"/>
      <c r="G476" s="173"/>
      <c r="J476" s="174"/>
      <c r="K476" s="173"/>
      <c r="L476" s="173"/>
    </row>
    <row r="477" spans="4:12" s="170" customFormat="1" x14ac:dyDescent="0.2">
      <c r="D477" s="173"/>
      <c r="E477" s="173"/>
      <c r="F477" s="173"/>
      <c r="G477" s="173"/>
      <c r="J477" s="174"/>
      <c r="K477" s="173"/>
      <c r="L477" s="173"/>
    </row>
    <row r="478" spans="4:12" s="170" customFormat="1" x14ac:dyDescent="0.2">
      <c r="D478" s="173"/>
      <c r="E478" s="173"/>
      <c r="F478" s="173"/>
      <c r="G478" s="173"/>
      <c r="J478" s="174"/>
      <c r="K478" s="173"/>
      <c r="L478" s="173"/>
    </row>
    <row r="479" spans="4:12" s="170" customFormat="1" x14ac:dyDescent="0.2">
      <c r="D479" s="173"/>
      <c r="E479" s="173"/>
      <c r="F479" s="173"/>
      <c r="G479" s="173"/>
      <c r="J479" s="174"/>
      <c r="K479" s="173"/>
      <c r="L479" s="173"/>
    </row>
    <row r="480" spans="4:12" s="170" customFormat="1" x14ac:dyDescent="0.2">
      <c r="D480" s="173"/>
      <c r="E480" s="173"/>
      <c r="F480" s="173"/>
      <c r="G480" s="173"/>
      <c r="J480" s="174"/>
      <c r="K480" s="173"/>
      <c r="L480" s="173"/>
    </row>
    <row r="481" spans="4:12" s="170" customFormat="1" x14ac:dyDescent="0.2">
      <c r="D481" s="173"/>
      <c r="E481" s="173"/>
      <c r="F481" s="173"/>
      <c r="G481" s="173"/>
      <c r="J481" s="174"/>
      <c r="K481" s="173"/>
      <c r="L481" s="173"/>
    </row>
    <row r="482" spans="4:12" s="170" customFormat="1" x14ac:dyDescent="0.2">
      <c r="D482" s="173"/>
      <c r="E482" s="173"/>
      <c r="F482" s="173"/>
      <c r="G482" s="173"/>
      <c r="J482" s="174"/>
      <c r="K482" s="173"/>
      <c r="L482" s="173"/>
    </row>
    <row r="483" spans="4:12" s="170" customFormat="1" x14ac:dyDescent="0.2">
      <c r="D483" s="173"/>
      <c r="E483" s="173"/>
      <c r="F483" s="173"/>
      <c r="G483" s="173"/>
      <c r="J483" s="174"/>
      <c r="K483" s="173"/>
      <c r="L483" s="173"/>
    </row>
    <row r="484" spans="4:12" s="170" customFormat="1" x14ac:dyDescent="0.2">
      <c r="D484" s="173"/>
      <c r="E484" s="173"/>
      <c r="F484" s="173"/>
      <c r="G484" s="173"/>
      <c r="J484" s="174"/>
      <c r="K484" s="173"/>
      <c r="L484" s="173"/>
    </row>
    <row r="485" spans="4:12" s="170" customFormat="1" x14ac:dyDescent="0.2">
      <c r="D485" s="173"/>
      <c r="E485" s="173"/>
      <c r="F485" s="173"/>
      <c r="G485" s="173"/>
      <c r="J485" s="174"/>
      <c r="K485" s="173"/>
      <c r="L485" s="173"/>
    </row>
    <row r="486" spans="4:12" s="170" customFormat="1" x14ac:dyDescent="0.2">
      <c r="D486" s="173"/>
      <c r="E486" s="173"/>
      <c r="F486" s="173"/>
      <c r="G486" s="173"/>
      <c r="J486" s="174"/>
      <c r="K486" s="173"/>
      <c r="L486" s="173"/>
    </row>
    <row r="487" spans="4:12" s="170" customFormat="1" x14ac:dyDescent="0.2">
      <c r="D487" s="173"/>
      <c r="E487" s="173"/>
      <c r="F487" s="173"/>
      <c r="G487" s="173"/>
      <c r="J487" s="174"/>
      <c r="K487" s="173"/>
      <c r="L487" s="173"/>
    </row>
    <row r="488" spans="4:12" s="170" customFormat="1" x14ac:dyDescent="0.2">
      <c r="D488" s="173"/>
      <c r="E488" s="173"/>
      <c r="F488" s="173"/>
      <c r="G488" s="173"/>
      <c r="J488" s="174"/>
      <c r="K488" s="173"/>
      <c r="L488" s="173"/>
    </row>
    <row r="489" spans="4:12" s="170" customFormat="1" x14ac:dyDescent="0.2">
      <c r="D489" s="173"/>
      <c r="E489" s="173"/>
      <c r="F489" s="173"/>
      <c r="G489" s="173"/>
      <c r="J489" s="174"/>
      <c r="K489" s="173"/>
      <c r="L489" s="173"/>
    </row>
    <row r="490" spans="4:12" s="170" customFormat="1" x14ac:dyDescent="0.2">
      <c r="D490" s="173"/>
      <c r="E490" s="173"/>
      <c r="F490" s="173"/>
      <c r="G490" s="173"/>
      <c r="J490" s="174"/>
      <c r="K490" s="173"/>
      <c r="L490" s="173"/>
    </row>
    <row r="491" spans="4:12" s="170" customFormat="1" x14ac:dyDescent="0.2">
      <c r="D491" s="173"/>
      <c r="E491" s="173"/>
      <c r="F491" s="173"/>
      <c r="G491" s="173"/>
      <c r="J491" s="174"/>
      <c r="K491" s="173"/>
      <c r="L491" s="173"/>
    </row>
    <row r="492" spans="4:12" s="170" customFormat="1" x14ac:dyDescent="0.2">
      <c r="D492" s="173"/>
      <c r="E492" s="173"/>
      <c r="F492" s="173"/>
      <c r="G492" s="173"/>
      <c r="J492" s="174"/>
      <c r="K492" s="173"/>
      <c r="L492" s="173"/>
    </row>
    <row r="493" spans="4:12" s="170" customFormat="1" x14ac:dyDescent="0.2">
      <c r="D493" s="173"/>
      <c r="E493" s="173"/>
      <c r="F493" s="173"/>
      <c r="G493" s="173"/>
      <c r="J493" s="174"/>
      <c r="K493" s="173"/>
      <c r="L493" s="173"/>
    </row>
    <row r="494" spans="4:12" s="170" customFormat="1" x14ac:dyDescent="0.2">
      <c r="D494" s="173"/>
      <c r="E494" s="173"/>
      <c r="F494" s="173"/>
      <c r="G494" s="173"/>
      <c r="J494" s="174"/>
      <c r="K494" s="173"/>
      <c r="L494" s="173"/>
    </row>
    <row r="495" spans="4:12" s="170" customFormat="1" x14ac:dyDescent="0.2">
      <c r="D495" s="173"/>
      <c r="E495" s="173"/>
      <c r="F495" s="173"/>
      <c r="G495" s="173"/>
      <c r="J495" s="174"/>
      <c r="K495" s="173"/>
      <c r="L495" s="173"/>
    </row>
    <row r="496" spans="4:12" s="170" customFormat="1" x14ac:dyDescent="0.2">
      <c r="D496" s="173"/>
      <c r="E496" s="173"/>
      <c r="F496" s="173"/>
      <c r="G496" s="173"/>
      <c r="J496" s="174"/>
      <c r="K496" s="173"/>
      <c r="L496" s="173"/>
    </row>
    <row r="497" spans="4:12" s="170" customFormat="1" x14ac:dyDescent="0.2">
      <c r="D497" s="173"/>
      <c r="E497" s="173"/>
      <c r="F497" s="173"/>
      <c r="G497" s="173"/>
      <c r="J497" s="174"/>
      <c r="K497" s="173"/>
      <c r="L497" s="173"/>
    </row>
    <row r="498" spans="4:12" s="170" customFormat="1" x14ac:dyDescent="0.2">
      <c r="D498" s="173"/>
      <c r="E498" s="173"/>
      <c r="F498" s="173"/>
      <c r="G498" s="173"/>
      <c r="J498" s="174"/>
      <c r="K498" s="173"/>
      <c r="L498" s="173"/>
    </row>
    <row r="499" spans="4:12" s="170" customFormat="1" x14ac:dyDescent="0.2">
      <c r="D499" s="173"/>
      <c r="E499" s="173"/>
      <c r="F499" s="173"/>
      <c r="G499" s="173"/>
      <c r="J499" s="174"/>
      <c r="K499" s="173"/>
      <c r="L499" s="173"/>
    </row>
    <row r="500" spans="4:12" s="170" customFormat="1" x14ac:dyDescent="0.2">
      <c r="D500" s="173"/>
      <c r="E500" s="173"/>
      <c r="F500" s="173"/>
      <c r="G500" s="173"/>
      <c r="J500" s="174"/>
      <c r="K500" s="173"/>
      <c r="L500" s="173"/>
    </row>
    <row r="501" spans="4:12" s="170" customFormat="1" x14ac:dyDescent="0.2">
      <c r="D501" s="173"/>
      <c r="E501" s="173"/>
      <c r="F501" s="173"/>
      <c r="G501" s="173"/>
      <c r="J501" s="174"/>
      <c r="K501" s="173"/>
      <c r="L501" s="173"/>
    </row>
    <row r="502" spans="4:12" s="170" customFormat="1" x14ac:dyDescent="0.2">
      <c r="D502" s="173"/>
      <c r="E502" s="173"/>
      <c r="F502" s="173"/>
      <c r="G502" s="173"/>
      <c r="J502" s="174"/>
      <c r="K502" s="173"/>
      <c r="L502" s="173"/>
    </row>
    <row r="503" spans="4:12" s="170" customFormat="1" x14ac:dyDescent="0.2">
      <c r="D503" s="173"/>
      <c r="E503" s="173"/>
      <c r="F503" s="173"/>
      <c r="G503" s="173"/>
      <c r="J503" s="174"/>
      <c r="K503" s="173"/>
      <c r="L503" s="173"/>
    </row>
    <row r="504" spans="4:12" s="170" customFormat="1" x14ac:dyDescent="0.2">
      <c r="D504" s="173"/>
      <c r="E504" s="173"/>
      <c r="F504" s="173"/>
      <c r="G504" s="173"/>
      <c r="J504" s="174"/>
      <c r="K504" s="173"/>
      <c r="L504" s="173"/>
    </row>
    <row r="505" spans="4:12" s="170" customFormat="1" x14ac:dyDescent="0.2">
      <c r="D505" s="173"/>
      <c r="E505" s="173"/>
      <c r="F505" s="173"/>
      <c r="G505" s="173"/>
      <c r="J505" s="174"/>
      <c r="K505" s="173"/>
      <c r="L505" s="173"/>
    </row>
    <row r="506" spans="4:12" s="170" customFormat="1" x14ac:dyDescent="0.2">
      <c r="D506" s="173"/>
      <c r="E506" s="173"/>
      <c r="F506" s="173"/>
      <c r="G506" s="173"/>
      <c r="J506" s="174"/>
      <c r="K506" s="173"/>
      <c r="L506" s="173"/>
    </row>
    <row r="507" spans="4:12" s="170" customFormat="1" x14ac:dyDescent="0.2">
      <c r="D507" s="173"/>
      <c r="E507" s="173"/>
      <c r="F507" s="173"/>
      <c r="G507" s="173"/>
      <c r="J507" s="174"/>
      <c r="K507" s="173"/>
      <c r="L507" s="173"/>
    </row>
    <row r="508" spans="4:12" s="170" customFormat="1" x14ac:dyDescent="0.2">
      <c r="D508" s="173"/>
      <c r="E508" s="173"/>
      <c r="F508" s="173"/>
      <c r="G508" s="173"/>
      <c r="J508" s="174"/>
      <c r="K508" s="173"/>
      <c r="L508" s="173"/>
    </row>
    <row r="509" spans="4:12" s="170" customFormat="1" x14ac:dyDescent="0.2">
      <c r="D509" s="173"/>
      <c r="E509" s="173"/>
      <c r="F509" s="173"/>
      <c r="G509" s="173"/>
      <c r="J509" s="174"/>
      <c r="K509" s="173"/>
      <c r="L509" s="173"/>
    </row>
    <row r="510" spans="4:12" s="170" customFormat="1" x14ac:dyDescent="0.2">
      <c r="D510" s="173"/>
      <c r="E510" s="173"/>
      <c r="F510" s="173"/>
      <c r="G510" s="173"/>
      <c r="J510" s="174"/>
      <c r="K510" s="173"/>
      <c r="L510" s="173"/>
    </row>
    <row r="511" spans="4:12" s="170" customFormat="1" x14ac:dyDescent="0.2">
      <c r="D511" s="173"/>
      <c r="E511" s="173"/>
      <c r="F511" s="173"/>
      <c r="G511" s="173"/>
      <c r="J511" s="174"/>
      <c r="K511" s="173"/>
      <c r="L511" s="173"/>
    </row>
    <row r="512" spans="4:12" s="170" customFormat="1" x14ac:dyDescent="0.2">
      <c r="D512" s="173"/>
      <c r="E512" s="173"/>
      <c r="F512" s="173"/>
      <c r="G512" s="173"/>
      <c r="J512" s="174"/>
      <c r="K512" s="173"/>
      <c r="L512" s="173"/>
    </row>
    <row r="513" spans="4:12" s="170" customFormat="1" x14ac:dyDescent="0.2">
      <c r="D513" s="173"/>
      <c r="E513" s="173"/>
      <c r="F513" s="173"/>
      <c r="G513" s="173"/>
      <c r="J513" s="174"/>
      <c r="K513" s="173"/>
      <c r="L513" s="173"/>
    </row>
    <row r="514" spans="4:12" s="170" customFormat="1" x14ac:dyDescent="0.2">
      <c r="D514" s="173"/>
      <c r="E514" s="173"/>
      <c r="F514" s="173"/>
      <c r="G514" s="173"/>
      <c r="J514" s="174"/>
      <c r="K514" s="173"/>
      <c r="L514" s="173"/>
    </row>
    <row r="515" spans="4:12" s="170" customFormat="1" x14ac:dyDescent="0.2">
      <c r="D515" s="173"/>
      <c r="E515" s="173"/>
      <c r="F515" s="173"/>
      <c r="G515" s="173"/>
      <c r="J515" s="174"/>
      <c r="K515" s="173"/>
      <c r="L515" s="173"/>
    </row>
    <row r="516" spans="4:12" s="170" customFormat="1" x14ac:dyDescent="0.2">
      <c r="D516" s="173"/>
      <c r="E516" s="173"/>
      <c r="F516" s="173"/>
      <c r="G516" s="173"/>
      <c r="J516" s="174"/>
      <c r="K516" s="173"/>
      <c r="L516" s="173"/>
    </row>
    <row r="517" spans="4:12" s="170" customFormat="1" x14ac:dyDescent="0.2">
      <c r="D517" s="173"/>
      <c r="E517" s="173"/>
      <c r="F517" s="173"/>
      <c r="G517" s="173"/>
      <c r="J517" s="174"/>
      <c r="K517" s="173"/>
      <c r="L517" s="173"/>
    </row>
    <row r="518" spans="4:12" s="170" customFormat="1" x14ac:dyDescent="0.2">
      <c r="D518" s="173"/>
      <c r="E518" s="173"/>
      <c r="F518" s="173"/>
      <c r="G518" s="173"/>
      <c r="J518" s="174"/>
      <c r="K518" s="173"/>
      <c r="L518" s="173"/>
    </row>
    <row r="519" spans="4:12" s="170" customFormat="1" x14ac:dyDescent="0.2">
      <c r="D519" s="173"/>
      <c r="E519" s="173"/>
      <c r="F519" s="173"/>
      <c r="G519" s="173"/>
      <c r="J519" s="174"/>
      <c r="K519" s="173"/>
      <c r="L519" s="173"/>
    </row>
    <row r="520" spans="4:12" s="170" customFormat="1" x14ac:dyDescent="0.2">
      <c r="D520" s="173"/>
      <c r="E520" s="173"/>
      <c r="F520" s="173"/>
      <c r="G520" s="173"/>
      <c r="J520" s="174"/>
      <c r="K520" s="173"/>
      <c r="L520" s="173"/>
    </row>
    <row r="521" spans="4:12" s="170" customFormat="1" x14ac:dyDescent="0.2">
      <c r="D521" s="173"/>
      <c r="E521" s="173"/>
      <c r="F521" s="173"/>
      <c r="G521" s="173"/>
      <c r="J521" s="174"/>
      <c r="K521" s="173"/>
      <c r="L521" s="173"/>
    </row>
    <row r="522" spans="4:12" s="170" customFormat="1" x14ac:dyDescent="0.2">
      <c r="D522" s="173"/>
      <c r="E522" s="173"/>
      <c r="F522" s="173"/>
      <c r="G522" s="173"/>
      <c r="J522" s="174"/>
      <c r="K522" s="173"/>
      <c r="L522" s="173"/>
    </row>
    <row r="523" spans="4:12" s="170" customFormat="1" x14ac:dyDescent="0.2">
      <c r="D523" s="173"/>
      <c r="E523" s="173"/>
      <c r="F523" s="173"/>
      <c r="G523" s="173"/>
      <c r="J523" s="174"/>
      <c r="K523" s="173"/>
      <c r="L523" s="173"/>
    </row>
    <row r="524" spans="4:12" s="170" customFormat="1" x14ac:dyDescent="0.2">
      <c r="D524" s="173"/>
      <c r="E524" s="173"/>
      <c r="F524" s="173"/>
      <c r="G524" s="173"/>
      <c r="J524" s="174"/>
      <c r="K524" s="173"/>
      <c r="L524" s="173"/>
    </row>
    <row r="525" spans="4:12" s="170" customFormat="1" x14ac:dyDescent="0.2">
      <c r="D525" s="173"/>
      <c r="E525" s="173"/>
      <c r="F525" s="173"/>
      <c r="G525" s="173"/>
      <c r="J525" s="174"/>
      <c r="K525" s="173"/>
      <c r="L525" s="173"/>
    </row>
    <row r="526" spans="4:12" s="170" customFormat="1" x14ac:dyDescent="0.2">
      <c r="D526" s="173"/>
      <c r="E526" s="173"/>
      <c r="F526" s="173"/>
      <c r="G526" s="173"/>
      <c r="J526" s="174"/>
      <c r="K526" s="173"/>
      <c r="L526" s="173"/>
    </row>
    <row r="527" spans="4:12" s="170" customFormat="1" x14ac:dyDescent="0.2">
      <c r="D527" s="173"/>
      <c r="E527" s="173"/>
      <c r="F527" s="173"/>
      <c r="G527" s="173"/>
      <c r="J527" s="174"/>
      <c r="K527" s="173"/>
      <c r="L527" s="173"/>
    </row>
    <row r="528" spans="4:12" s="170" customFormat="1" x14ac:dyDescent="0.2">
      <c r="D528" s="173"/>
      <c r="E528" s="173"/>
      <c r="F528" s="173"/>
      <c r="G528" s="173"/>
      <c r="J528" s="174"/>
      <c r="K528" s="173"/>
      <c r="L528" s="173"/>
    </row>
    <row r="529" spans="4:12" s="170" customFormat="1" x14ac:dyDescent="0.2">
      <c r="D529" s="173"/>
      <c r="E529" s="173"/>
      <c r="F529" s="173"/>
      <c r="G529" s="173"/>
      <c r="J529" s="174"/>
      <c r="K529" s="173"/>
      <c r="L529" s="173"/>
    </row>
    <row r="530" spans="4:12" s="170" customFormat="1" x14ac:dyDescent="0.2">
      <c r="D530" s="173"/>
      <c r="E530" s="173"/>
      <c r="F530" s="173"/>
      <c r="G530" s="173"/>
      <c r="J530" s="174"/>
      <c r="K530" s="173"/>
      <c r="L530" s="173"/>
    </row>
    <row r="531" spans="4:12" s="170" customFormat="1" x14ac:dyDescent="0.2">
      <c r="D531" s="173"/>
      <c r="E531" s="173"/>
      <c r="F531" s="173"/>
      <c r="G531" s="173"/>
      <c r="J531" s="174"/>
      <c r="K531" s="173"/>
      <c r="L531" s="173"/>
    </row>
    <row r="532" spans="4:12" s="170" customFormat="1" x14ac:dyDescent="0.2">
      <c r="D532" s="173"/>
      <c r="E532" s="173"/>
      <c r="F532" s="173"/>
      <c r="G532" s="173"/>
      <c r="J532" s="174"/>
      <c r="K532" s="173"/>
      <c r="L532" s="173"/>
    </row>
    <row r="533" spans="4:12" s="170" customFormat="1" x14ac:dyDescent="0.2">
      <c r="D533" s="173"/>
      <c r="E533" s="173"/>
      <c r="F533" s="173"/>
      <c r="G533" s="173"/>
      <c r="J533" s="174"/>
      <c r="K533" s="173"/>
      <c r="L533" s="173"/>
    </row>
    <row r="534" spans="4:12" s="170" customFormat="1" x14ac:dyDescent="0.2">
      <c r="D534" s="173"/>
      <c r="E534" s="173"/>
      <c r="F534" s="173"/>
      <c r="G534" s="173"/>
      <c r="J534" s="174"/>
      <c r="K534" s="173"/>
      <c r="L534" s="173"/>
    </row>
    <row r="535" spans="4:12" s="170" customFormat="1" x14ac:dyDescent="0.2">
      <c r="D535" s="173"/>
      <c r="E535" s="173"/>
      <c r="F535" s="173"/>
      <c r="G535" s="173"/>
      <c r="J535" s="174"/>
      <c r="K535" s="173"/>
      <c r="L535" s="173"/>
    </row>
    <row r="536" spans="4:12" s="170" customFormat="1" x14ac:dyDescent="0.2">
      <c r="D536" s="173"/>
      <c r="E536" s="173"/>
      <c r="F536" s="173"/>
      <c r="G536" s="173"/>
      <c r="J536" s="174"/>
      <c r="K536" s="173"/>
      <c r="L536" s="173"/>
    </row>
    <row r="537" spans="4:12" s="170" customFormat="1" x14ac:dyDescent="0.2">
      <c r="D537" s="173"/>
      <c r="E537" s="173"/>
      <c r="F537" s="173"/>
      <c r="G537" s="173"/>
      <c r="J537" s="174"/>
      <c r="K537" s="173"/>
      <c r="L537" s="173"/>
    </row>
    <row r="538" spans="4:12" s="170" customFormat="1" x14ac:dyDescent="0.2">
      <c r="D538" s="173"/>
      <c r="E538" s="173"/>
      <c r="F538" s="173"/>
      <c r="G538" s="173"/>
      <c r="J538" s="174"/>
      <c r="K538" s="173"/>
      <c r="L538" s="173"/>
    </row>
    <row r="539" spans="4:12" s="170" customFormat="1" x14ac:dyDescent="0.2">
      <c r="D539" s="173"/>
      <c r="E539" s="173"/>
      <c r="F539" s="173"/>
      <c r="G539" s="173"/>
      <c r="J539" s="174"/>
      <c r="K539" s="173"/>
      <c r="L539" s="173"/>
    </row>
    <row r="540" spans="4:12" s="170" customFormat="1" x14ac:dyDescent="0.2">
      <c r="D540" s="173"/>
      <c r="E540" s="173"/>
      <c r="F540" s="173"/>
      <c r="G540" s="173"/>
      <c r="J540" s="174"/>
      <c r="K540" s="173"/>
      <c r="L540" s="173"/>
    </row>
    <row r="541" spans="4:12" s="170" customFormat="1" x14ac:dyDescent="0.2">
      <c r="D541" s="173"/>
      <c r="E541" s="173"/>
      <c r="F541" s="173"/>
      <c r="G541" s="173"/>
      <c r="J541" s="174"/>
      <c r="K541" s="173"/>
      <c r="L541" s="173"/>
    </row>
    <row r="542" spans="4:12" s="170" customFormat="1" x14ac:dyDescent="0.2">
      <c r="D542" s="173"/>
      <c r="E542" s="173"/>
      <c r="F542" s="173"/>
      <c r="G542" s="173"/>
      <c r="J542" s="174"/>
      <c r="K542" s="173"/>
      <c r="L542" s="173"/>
    </row>
    <row r="543" spans="4:12" s="170" customFormat="1" x14ac:dyDescent="0.2">
      <c r="D543" s="173"/>
      <c r="E543" s="173"/>
      <c r="F543" s="173"/>
      <c r="G543" s="173"/>
      <c r="J543" s="174"/>
      <c r="K543" s="173"/>
      <c r="L543" s="173"/>
    </row>
    <row r="544" spans="4:12" s="170" customFormat="1" x14ac:dyDescent="0.2">
      <c r="D544" s="173"/>
      <c r="E544" s="173"/>
      <c r="F544" s="173"/>
      <c r="G544" s="173"/>
      <c r="J544" s="174"/>
      <c r="K544" s="173"/>
      <c r="L544" s="173"/>
    </row>
    <row r="545" spans="4:12" s="170" customFormat="1" x14ac:dyDescent="0.2">
      <c r="D545" s="173"/>
      <c r="E545" s="173"/>
      <c r="F545" s="173"/>
      <c r="G545" s="173"/>
      <c r="J545" s="174"/>
      <c r="K545" s="173"/>
      <c r="L545" s="173"/>
    </row>
    <row r="546" spans="4:12" s="170" customFormat="1" x14ac:dyDescent="0.2">
      <c r="D546" s="173"/>
      <c r="E546" s="173"/>
      <c r="F546" s="173"/>
      <c r="G546" s="173"/>
      <c r="J546" s="174"/>
      <c r="K546" s="173"/>
      <c r="L546" s="173"/>
    </row>
    <row r="547" spans="4:12" s="170" customFormat="1" x14ac:dyDescent="0.2">
      <c r="D547" s="173"/>
      <c r="E547" s="173"/>
      <c r="F547" s="173"/>
      <c r="G547" s="173"/>
      <c r="J547" s="174"/>
      <c r="K547" s="173"/>
      <c r="L547" s="173"/>
    </row>
    <row r="548" spans="4:12" s="170" customFormat="1" x14ac:dyDescent="0.2">
      <c r="D548" s="173"/>
      <c r="E548" s="173"/>
      <c r="F548" s="173"/>
      <c r="G548" s="173"/>
      <c r="J548" s="174"/>
      <c r="K548" s="173"/>
      <c r="L548" s="173"/>
    </row>
    <row r="549" spans="4:12" s="170" customFormat="1" x14ac:dyDescent="0.2">
      <c r="D549" s="173"/>
      <c r="E549" s="173"/>
      <c r="F549" s="173"/>
      <c r="G549" s="173"/>
      <c r="J549" s="174"/>
      <c r="K549" s="173"/>
      <c r="L549" s="173"/>
    </row>
    <row r="550" spans="4:12" s="170" customFormat="1" x14ac:dyDescent="0.2">
      <c r="D550" s="173"/>
      <c r="E550" s="173"/>
      <c r="F550" s="173"/>
      <c r="G550" s="173"/>
      <c r="J550" s="174"/>
      <c r="K550" s="173"/>
      <c r="L550" s="173"/>
    </row>
    <row r="551" spans="4:12" s="170" customFormat="1" x14ac:dyDescent="0.2">
      <c r="D551" s="173"/>
      <c r="E551" s="173"/>
      <c r="F551" s="173"/>
      <c r="G551" s="173"/>
      <c r="J551" s="174"/>
      <c r="K551" s="173"/>
      <c r="L551" s="173"/>
    </row>
    <row r="552" spans="4:12" s="170" customFormat="1" x14ac:dyDescent="0.2">
      <c r="D552" s="173"/>
      <c r="E552" s="173"/>
      <c r="F552" s="173"/>
      <c r="G552" s="173"/>
      <c r="J552" s="174"/>
      <c r="K552" s="173"/>
      <c r="L552" s="173"/>
    </row>
    <row r="553" spans="4:12" s="170" customFormat="1" x14ac:dyDescent="0.2">
      <c r="D553" s="173"/>
      <c r="E553" s="173"/>
      <c r="F553" s="173"/>
      <c r="G553" s="173"/>
      <c r="J553" s="174"/>
      <c r="K553" s="173"/>
      <c r="L553" s="173"/>
    </row>
    <row r="554" spans="4:12" s="170" customFormat="1" x14ac:dyDescent="0.2">
      <c r="D554" s="173"/>
      <c r="E554" s="173"/>
      <c r="F554" s="173"/>
      <c r="G554" s="173"/>
      <c r="J554" s="174"/>
      <c r="K554" s="173"/>
      <c r="L554" s="173"/>
    </row>
    <row r="555" spans="4:12" s="170" customFormat="1" x14ac:dyDescent="0.2">
      <c r="D555" s="173"/>
      <c r="E555" s="173"/>
      <c r="F555" s="173"/>
      <c r="G555" s="173"/>
      <c r="J555" s="174"/>
      <c r="K555" s="173"/>
      <c r="L555" s="173"/>
    </row>
    <row r="556" spans="4:12" s="170" customFormat="1" x14ac:dyDescent="0.2">
      <c r="D556" s="173"/>
      <c r="E556" s="173"/>
      <c r="F556" s="173"/>
      <c r="G556" s="173"/>
      <c r="J556" s="174"/>
      <c r="K556" s="173"/>
      <c r="L556" s="173"/>
    </row>
    <row r="557" spans="4:12" s="170" customFormat="1" x14ac:dyDescent="0.2">
      <c r="D557" s="173"/>
      <c r="E557" s="173"/>
      <c r="F557" s="173"/>
      <c r="G557" s="173"/>
      <c r="J557" s="174"/>
      <c r="K557" s="173"/>
      <c r="L557" s="173"/>
    </row>
    <row r="558" spans="4:12" s="170" customFormat="1" x14ac:dyDescent="0.2">
      <c r="D558" s="173"/>
      <c r="E558" s="173"/>
      <c r="F558" s="173"/>
      <c r="G558" s="173"/>
      <c r="J558" s="174"/>
      <c r="K558" s="173"/>
      <c r="L558" s="173"/>
    </row>
    <row r="559" spans="4:12" s="170" customFormat="1" x14ac:dyDescent="0.2">
      <c r="D559" s="173"/>
      <c r="E559" s="173"/>
      <c r="F559" s="173"/>
      <c r="G559" s="173"/>
      <c r="J559" s="174"/>
      <c r="K559" s="173"/>
      <c r="L559" s="173"/>
    </row>
    <row r="560" spans="4:12" s="170" customFormat="1" x14ac:dyDescent="0.2">
      <c r="D560" s="173"/>
      <c r="E560" s="173"/>
      <c r="F560" s="173"/>
      <c r="G560" s="173"/>
      <c r="J560" s="174"/>
      <c r="K560" s="173"/>
      <c r="L560" s="173"/>
    </row>
    <row r="561" spans="4:12" s="170" customFormat="1" x14ac:dyDescent="0.2">
      <c r="D561" s="173"/>
      <c r="E561" s="173"/>
      <c r="F561" s="173"/>
      <c r="G561" s="173"/>
      <c r="J561" s="174"/>
      <c r="K561" s="173"/>
      <c r="L561" s="173"/>
    </row>
    <row r="562" spans="4:12" s="170" customFormat="1" x14ac:dyDescent="0.2">
      <c r="D562" s="173"/>
      <c r="E562" s="173"/>
      <c r="F562" s="173"/>
      <c r="G562" s="173"/>
      <c r="J562" s="174"/>
      <c r="K562" s="173"/>
      <c r="L562" s="173"/>
    </row>
    <row r="563" spans="4:12" s="170" customFormat="1" x14ac:dyDescent="0.2">
      <c r="D563" s="173"/>
      <c r="E563" s="173"/>
      <c r="F563" s="173"/>
      <c r="G563" s="173"/>
      <c r="J563" s="174"/>
      <c r="K563" s="173"/>
      <c r="L563" s="173"/>
    </row>
    <row r="564" spans="4:12" s="170" customFormat="1" x14ac:dyDescent="0.2">
      <c r="D564" s="173"/>
      <c r="E564" s="173"/>
      <c r="F564" s="173"/>
      <c r="G564" s="173"/>
      <c r="J564" s="174"/>
      <c r="K564" s="173"/>
      <c r="L564" s="173"/>
    </row>
    <row r="565" spans="4:12" s="170" customFormat="1" x14ac:dyDescent="0.2">
      <c r="D565" s="173"/>
      <c r="E565" s="173"/>
      <c r="F565" s="173"/>
      <c r="G565" s="173"/>
      <c r="J565" s="174"/>
      <c r="K565" s="173"/>
      <c r="L565" s="173"/>
    </row>
    <row r="566" spans="4:12" s="170" customFormat="1" x14ac:dyDescent="0.2">
      <c r="D566" s="173"/>
      <c r="E566" s="173"/>
      <c r="F566" s="173"/>
      <c r="G566" s="173"/>
      <c r="J566" s="174"/>
      <c r="K566" s="173"/>
      <c r="L566" s="173"/>
    </row>
    <row r="567" spans="4:12" s="170" customFormat="1" x14ac:dyDescent="0.2">
      <c r="D567" s="173"/>
      <c r="E567" s="173"/>
      <c r="F567" s="173"/>
      <c r="G567" s="173"/>
      <c r="J567" s="174"/>
      <c r="K567" s="173"/>
      <c r="L567" s="173"/>
    </row>
    <row r="568" spans="4:12" s="170" customFormat="1" x14ac:dyDescent="0.2">
      <c r="D568" s="173"/>
      <c r="E568" s="173"/>
      <c r="F568" s="173"/>
      <c r="G568" s="173"/>
      <c r="J568" s="174"/>
      <c r="K568" s="173"/>
      <c r="L568" s="173"/>
    </row>
    <row r="569" spans="4:12" s="170" customFormat="1" x14ac:dyDescent="0.2">
      <c r="D569" s="173"/>
      <c r="E569" s="173"/>
      <c r="F569" s="173"/>
      <c r="G569" s="173"/>
      <c r="J569" s="174"/>
      <c r="K569" s="173"/>
      <c r="L569" s="173"/>
    </row>
    <row r="570" spans="4:12" s="170" customFormat="1" x14ac:dyDescent="0.2">
      <c r="D570" s="173"/>
      <c r="E570" s="173"/>
      <c r="F570" s="173"/>
      <c r="G570" s="173"/>
      <c r="J570" s="174"/>
      <c r="K570" s="173"/>
      <c r="L570" s="173"/>
    </row>
    <row r="571" spans="4:12" s="170" customFormat="1" x14ac:dyDescent="0.2">
      <c r="D571" s="173"/>
      <c r="E571" s="173"/>
      <c r="F571" s="173"/>
      <c r="G571" s="173"/>
      <c r="J571" s="174"/>
      <c r="K571" s="173"/>
      <c r="L571" s="173"/>
    </row>
    <row r="572" spans="4:12" s="170" customFormat="1" x14ac:dyDescent="0.2">
      <c r="D572" s="173"/>
      <c r="E572" s="173"/>
      <c r="F572" s="173"/>
      <c r="G572" s="173"/>
      <c r="J572" s="174"/>
      <c r="K572" s="173"/>
      <c r="L572" s="173"/>
    </row>
    <row r="573" spans="4:12" s="170" customFormat="1" x14ac:dyDescent="0.2">
      <c r="D573" s="173"/>
      <c r="E573" s="173"/>
      <c r="F573" s="173"/>
      <c r="G573" s="173"/>
      <c r="J573" s="174"/>
      <c r="K573" s="173"/>
      <c r="L573" s="173"/>
    </row>
    <row r="574" spans="4:12" s="170" customFormat="1" x14ac:dyDescent="0.2">
      <c r="D574" s="173"/>
      <c r="E574" s="173"/>
      <c r="F574" s="173"/>
      <c r="G574" s="173"/>
      <c r="J574" s="174"/>
      <c r="K574" s="173"/>
      <c r="L574" s="173"/>
    </row>
    <row r="575" spans="4:12" s="170" customFormat="1" x14ac:dyDescent="0.2">
      <c r="D575" s="173"/>
      <c r="E575" s="173"/>
      <c r="F575" s="173"/>
      <c r="G575" s="173"/>
      <c r="J575" s="174"/>
      <c r="K575" s="173"/>
      <c r="L575" s="173"/>
    </row>
    <row r="576" spans="4:12" s="170" customFormat="1" x14ac:dyDescent="0.2">
      <c r="D576" s="173"/>
      <c r="E576" s="173"/>
      <c r="F576" s="173"/>
      <c r="G576" s="173"/>
      <c r="J576" s="174"/>
      <c r="K576" s="173"/>
      <c r="L576" s="173"/>
    </row>
    <row r="577" spans="4:12" s="170" customFormat="1" x14ac:dyDescent="0.2">
      <c r="D577" s="173"/>
      <c r="E577" s="173"/>
      <c r="F577" s="173"/>
      <c r="G577" s="173"/>
      <c r="J577" s="174"/>
      <c r="K577" s="173"/>
      <c r="L577" s="173"/>
    </row>
    <row r="578" spans="4:12" s="170" customFormat="1" x14ac:dyDescent="0.2">
      <c r="D578" s="173"/>
      <c r="E578" s="173"/>
      <c r="F578" s="173"/>
      <c r="G578" s="173"/>
      <c r="J578" s="174"/>
      <c r="K578" s="173"/>
      <c r="L578" s="173"/>
    </row>
    <row r="579" spans="4:12" s="170" customFormat="1" x14ac:dyDescent="0.2">
      <c r="D579" s="173"/>
      <c r="E579" s="173"/>
      <c r="F579" s="173"/>
      <c r="G579" s="173"/>
      <c r="J579" s="174"/>
      <c r="K579" s="173"/>
      <c r="L579" s="173"/>
    </row>
    <row r="580" spans="4:12" s="170" customFormat="1" x14ac:dyDescent="0.2">
      <c r="D580" s="173"/>
      <c r="E580" s="173"/>
      <c r="F580" s="173"/>
      <c r="G580" s="173"/>
      <c r="J580" s="174"/>
      <c r="K580" s="173"/>
      <c r="L580" s="173"/>
    </row>
    <row r="581" spans="4:12" s="170" customFormat="1" x14ac:dyDescent="0.2">
      <c r="D581" s="173"/>
      <c r="E581" s="173"/>
      <c r="F581" s="173"/>
      <c r="G581" s="173"/>
      <c r="J581" s="174"/>
      <c r="K581" s="173"/>
      <c r="L581" s="173"/>
    </row>
    <row r="582" spans="4:12" s="170" customFormat="1" x14ac:dyDescent="0.2">
      <c r="D582" s="173"/>
      <c r="E582" s="173"/>
      <c r="F582" s="173"/>
      <c r="G582" s="173"/>
      <c r="J582" s="174"/>
      <c r="K582" s="173"/>
      <c r="L582" s="173"/>
    </row>
    <row r="583" spans="4:12" s="170" customFormat="1" x14ac:dyDescent="0.2">
      <c r="D583" s="173"/>
      <c r="E583" s="173"/>
      <c r="F583" s="173"/>
      <c r="G583" s="173"/>
      <c r="J583" s="174"/>
      <c r="K583" s="173"/>
      <c r="L583" s="173"/>
    </row>
    <row r="584" spans="4:12" s="170" customFormat="1" x14ac:dyDescent="0.2">
      <c r="D584" s="173"/>
      <c r="E584" s="173"/>
      <c r="F584" s="173"/>
      <c r="G584" s="173"/>
      <c r="J584" s="174"/>
      <c r="K584" s="173"/>
      <c r="L584" s="173"/>
    </row>
    <row r="585" spans="4:12" s="170" customFormat="1" x14ac:dyDescent="0.2">
      <c r="D585" s="173"/>
      <c r="E585" s="173"/>
      <c r="F585" s="173"/>
      <c r="G585" s="173"/>
      <c r="J585" s="174"/>
      <c r="K585" s="173"/>
      <c r="L585" s="173"/>
    </row>
    <row r="586" spans="4:12" s="170" customFormat="1" x14ac:dyDescent="0.2">
      <c r="D586" s="173"/>
      <c r="E586" s="173"/>
      <c r="F586" s="173"/>
      <c r="G586" s="173"/>
      <c r="J586" s="174"/>
      <c r="K586" s="173"/>
      <c r="L586" s="173"/>
    </row>
    <row r="587" spans="4:12" s="170" customFormat="1" x14ac:dyDescent="0.2">
      <c r="D587" s="173"/>
      <c r="E587" s="173"/>
      <c r="F587" s="173"/>
      <c r="G587" s="173"/>
      <c r="J587" s="174"/>
      <c r="K587" s="173"/>
      <c r="L587" s="173"/>
    </row>
    <row r="588" spans="4:12" s="170" customFormat="1" x14ac:dyDescent="0.2">
      <c r="D588" s="173"/>
      <c r="E588" s="173"/>
      <c r="F588" s="173"/>
      <c r="G588" s="173"/>
      <c r="J588" s="174"/>
      <c r="K588" s="173"/>
      <c r="L588" s="173"/>
    </row>
    <row r="589" spans="4:12" s="170" customFormat="1" x14ac:dyDescent="0.2">
      <c r="D589" s="173"/>
      <c r="E589" s="173"/>
      <c r="F589" s="173"/>
      <c r="G589" s="173"/>
      <c r="J589" s="174"/>
      <c r="K589" s="173"/>
      <c r="L589" s="173"/>
    </row>
    <row r="590" spans="4:12" s="170" customFormat="1" x14ac:dyDescent="0.2">
      <c r="D590" s="173"/>
      <c r="E590" s="173"/>
      <c r="F590" s="173"/>
      <c r="G590" s="173"/>
      <c r="J590" s="174"/>
      <c r="K590" s="173"/>
      <c r="L590" s="173"/>
    </row>
    <row r="591" spans="4:12" s="170" customFormat="1" x14ac:dyDescent="0.2">
      <c r="D591" s="173"/>
      <c r="E591" s="173"/>
      <c r="F591" s="173"/>
      <c r="G591" s="173"/>
      <c r="J591" s="174"/>
      <c r="K591" s="173"/>
      <c r="L591" s="173"/>
    </row>
    <row r="592" spans="4:12" s="170" customFormat="1" x14ac:dyDescent="0.2">
      <c r="D592" s="173"/>
      <c r="E592" s="173"/>
      <c r="F592" s="173"/>
      <c r="G592" s="173"/>
      <c r="J592" s="174"/>
      <c r="K592" s="173"/>
      <c r="L592" s="173"/>
    </row>
    <row r="593" spans="4:12" s="170" customFormat="1" x14ac:dyDescent="0.2">
      <c r="D593" s="173"/>
      <c r="E593" s="173"/>
      <c r="F593" s="173"/>
      <c r="G593" s="173"/>
      <c r="J593" s="174"/>
      <c r="K593" s="173"/>
      <c r="L593" s="173"/>
    </row>
    <row r="594" spans="4:12" s="170" customFormat="1" x14ac:dyDescent="0.2">
      <c r="D594" s="173"/>
      <c r="E594" s="173"/>
      <c r="F594" s="173"/>
      <c r="G594" s="173"/>
      <c r="J594" s="174"/>
      <c r="K594" s="173"/>
      <c r="L594" s="173"/>
    </row>
    <row r="595" spans="4:12" s="170" customFormat="1" x14ac:dyDescent="0.2">
      <c r="D595" s="173"/>
      <c r="E595" s="173"/>
      <c r="F595" s="173"/>
      <c r="G595" s="173"/>
      <c r="J595" s="174"/>
      <c r="K595" s="173"/>
      <c r="L595" s="173"/>
    </row>
    <row r="596" spans="4:12" s="170" customFormat="1" x14ac:dyDescent="0.2">
      <c r="D596" s="173"/>
      <c r="E596" s="173"/>
      <c r="F596" s="173"/>
      <c r="G596" s="173"/>
      <c r="J596" s="174"/>
      <c r="K596" s="173"/>
      <c r="L596" s="173"/>
    </row>
    <row r="597" spans="4:12" s="170" customFormat="1" x14ac:dyDescent="0.2">
      <c r="D597" s="173"/>
      <c r="E597" s="173"/>
      <c r="F597" s="173"/>
      <c r="G597" s="173"/>
      <c r="J597" s="174"/>
      <c r="K597" s="173"/>
      <c r="L597" s="173"/>
    </row>
    <row r="598" spans="4:12" s="170" customFormat="1" x14ac:dyDescent="0.2">
      <c r="D598" s="173"/>
      <c r="E598" s="173"/>
      <c r="F598" s="173"/>
      <c r="G598" s="173"/>
      <c r="J598" s="174"/>
      <c r="K598" s="173"/>
      <c r="L598" s="173"/>
    </row>
    <row r="599" spans="4:12" s="170" customFormat="1" x14ac:dyDescent="0.2">
      <c r="D599" s="173"/>
      <c r="E599" s="173"/>
      <c r="F599" s="173"/>
      <c r="G599" s="173"/>
      <c r="J599" s="174"/>
      <c r="K599" s="173"/>
      <c r="L599" s="173"/>
    </row>
    <row r="600" spans="4:12" s="170" customFormat="1" x14ac:dyDescent="0.2">
      <c r="D600" s="173"/>
      <c r="E600" s="173"/>
      <c r="F600" s="173"/>
      <c r="G600" s="173"/>
      <c r="J600" s="174"/>
      <c r="K600" s="173"/>
      <c r="L600" s="173"/>
    </row>
    <row r="601" spans="4:12" s="170" customFormat="1" x14ac:dyDescent="0.2">
      <c r="D601" s="173"/>
      <c r="E601" s="173"/>
      <c r="F601" s="173"/>
      <c r="G601" s="173"/>
      <c r="J601" s="174"/>
      <c r="K601" s="173"/>
      <c r="L601" s="173"/>
    </row>
    <row r="602" spans="4:12" s="170" customFormat="1" x14ac:dyDescent="0.2">
      <c r="D602" s="173"/>
      <c r="E602" s="173"/>
      <c r="F602" s="173"/>
      <c r="G602" s="173"/>
      <c r="J602" s="174"/>
      <c r="K602" s="173"/>
      <c r="L602" s="173"/>
    </row>
    <row r="603" spans="4:12" s="170" customFormat="1" x14ac:dyDescent="0.2">
      <c r="D603" s="173"/>
      <c r="E603" s="173"/>
      <c r="F603" s="173"/>
      <c r="G603" s="173"/>
      <c r="J603" s="174"/>
      <c r="K603" s="173"/>
      <c r="L603" s="173"/>
    </row>
    <row r="604" spans="4:12" s="170" customFormat="1" x14ac:dyDescent="0.2">
      <c r="D604" s="173"/>
      <c r="E604" s="173"/>
      <c r="F604" s="173"/>
      <c r="G604" s="173"/>
      <c r="J604" s="174"/>
      <c r="K604" s="173"/>
      <c r="L604" s="173"/>
    </row>
    <row r="605" spans="4:12" s="170" customFormat="1" x14ac:dyDescent="0.2">
      <c r="D605" s="173"/>
      <c r="E605" s="173"/>
      <c r="F605" s="173"/>
      <c r="G605" s="173"/>
      <c r="J605" s="174"/>
      <c r="K605" s="173"/>
      <c r="L605" s="173"/>
    </row>
    <row r="606" spans="4:12" s="170" customFormat="1" x14ac:dyDescent="0.2">
      <c r="D606" s="173"/>
      <c r="E606" s="173"/>
      <c r="F606" s="173"/>
      <c r="G606" s="173"/>
      <c r="J606" s="174"/>
      <c r="K606" s="173"/>
      <c r="L606" s="173"/>
    </row>
    <row r="607" spans="4:12" s="170" customFormat="1" x14ac:dyDescent="0.2">
      <c r="D607" s="173"/>
      <c r="E607" s="173"/>
      <c r="F607" s="173"/>
      <c r="G607" s="173"/>
      <c r="J607" s="174"/>
      <c r="K607" s="173"/>
      <c r="L607" s="173"/>
    </row>
    <row r="608" spans="4:12" s="170" customFormat="1" x14ac:dyDescent="0.2">
      <c r="D608" s="173"/>
      <c r="E608" s="173"/>
      <c r="F608" s="173"/>
      <c r="G608" s="173"/>
      <c r="J608" s="174"/>
      <c r="K608" s="173"/>
      <c r="L608" s="173"/>
    </row>
    <row r="609" spans="4:12" s="170" customFormat="1" x14ac:dyDescent="0.2">
      <c r="D609" s="173"/>
      <c r="E609" s="173"/>
      <c r="F609" s="173"/>
      <c r="G609" s="173"/>
      <c r="J609" s="174"/>
      <c r="K609" s="173"/>
      <c r="L609" s="173"/>
    </row>
    <row r="610" spans="4:12" s="170" customFormat="1" x14ac:dyDescent="0.2">
      <c r="D610" s="173"/>
      <c r="E610" s="173"/>
      <c r="F610" s="173"/>
      <c r="G610" s="173"/>
      <c r="J610" s="174"/>
      <c r="K610" s="173"/>
      <c r="L610" s="173"/>
    </row>
    <row r="611" spans="4:12" s="170" customFormat="1" x14ac:dyDescent="0.2">
      <c r="D611" s="173"/>
      <c r="E611" s="173"/>
      <c r="F611" s="173"/>
      <c r="G611" s="173"/>
      <c r="J611" s="174"/>
      <c r="K611" s="173"/>
      <c r="L611" s="173"/>
    </row>
    <row r="612" spans="4:12" s="170" customFormat="1" x14ac:dyDescent="0.2">
      <c r="D612" s="173"/>
      <c r="E612" s="173"/>
      <c r="F612" s="173"/>
      <c r="G612" s="173"/>
      <c r="J612" s="174"/>
      <c r="K612" s="173"/>
      <c r="L612" s="173"/>
    </row>
    <row r="613" spans="4:12" s="170" customFormat="1" x14ac:dyDescent="0.2">
      <c r="D613" s="173"/>
      <c r="E613" s="173"/>
      <c r="F613" s="173"/>
      <c r="G613" s="173"/>
      <c r="J613" s="174"/>
      <c r="K613" s="173"/>
      <c r="L613" s="173"/>
    </row>
    <row r="614" spans="4:12" s="170" customFormat="1" x14ac:dyDescent="0.2">
      <c r="D614" s="173"/>
      <c r="E614" s="173"/>
      <c r="F614" s="173"/>
      <c r="G614" s="173"/>
      <c r="J614" s="174"/>
      <c r="K614" s="173"/>
      <c r="L614" s="173"/>
    </row>
    <row r="615" spans="4:12" s="170" customFormat="1" x14ac:dyDescent="0.2">
      <c r="D615" s="173"/>
      <c r="E615" s="173"/>
      <c r="F615" s="173"/>
      <c r="G615" s="173"/>
      <c r="J615" s="174"/>
      <c r="K615" s="173"/>
      <c r="L615" s="173"/>
    </row>
    <row r="616" spans="4:12" s="170" customFormat="1" x14ac:dyDescent="0.2">
      <c r="D616" s="173"/>
      <c r="E616" s="173"/>
      <c r="F616" s="173"/>
      <c r="G616" s="173"/>
      <c r="J616" s="174"/>
      <c r="K616" s="173"/>
      <c r="L616" s="173"/>
    </row>
    <row r="617" spans="4:12" s="170" customFormat="1" x14ac:dyDescent="0.2">
      <c r="D617" s="173"/>
      <c r="E617" s="173"/>
      <c r="F617" s="173"/>
      <c r="G617" s="173"/>
      <c r="J617" s="174"/>
      <c r="K617" s="173"/>
      <c r="L617" s="173"/>
    </row>
    <row r="618" spans="4:12" s="170" customFormat="1" x14ac:dyDescent="0.2">
      <c r="D618" s="173"/>
      <c r="E618" s="173"/>
      <c r="F618" s="173"/>
      <c r="G618" s="173"/>
      <c r="J618" s="174"/>
      <c r="K618" s="173"/>
      <c r="L618" s="173"/>
    </row>
    <row r="619" spans="4:12" s="170" customFormat="1" x14ac:dyDescent="0.2">
      <c r="D619" s="173"/>
      <c r="E619" s="173"/>
      <c r="F619" s="173"/>
      <c r="G619" s="173"/>
      <c r="J619" s="174"/>
      <c r="K619" s="173"/>
      <c r="L619" s="173"/>
    </row>
    <row r="620" spans="4:12" s="170" customFormat="1" x14ac:dyDescent="0.2">
      <c r="D620" s="173"/>
      <c r="E620" s="173"/>
      <c r="F620" s="173"/>
      <c r="G620" s="173"/>
      <c r="J620" s="174"/>
      <c r="K620" s="173"/>
      <c r="L620" s="173"/>
    </row>
    <row r="621" spans="4:12" s="170" customFormat="1" x14ac:dyDescent="0.2">
      <c r="D621" s="173"/>
      <c r="E621" s="173"/>
      <c r="F621" s="173"/>
      <c r="G621" s="173"/>
      <c r="J621" s="174"/>
      <c r="K621" s="173"/>
      <c r="L621" s="173"/>
    </row>
    <row r="622" spans="4:12" s="170" customFormat="1" x14ac:dyDescent="0.2">
      <c r="D622" s="173"/>
      <c r="E622" s="173"/>
      <c r="F622" s="173"/>
      <c r="G622" s="173"/>
      <c r="J622" s="174"/>
      <c r="K622" s="173"/>
      <c r="L622" s="173"/>
    </row>
    <row r="623" spans="4:12" s="170" customFormat="1" x14ac:dyDescent="0.2">
      <c r="D623" s="173"/>
      <c r="E623" s="173"/>
      <c r="F623" s="173"/>
      <c r="G623" s="173"/>
      <c r="J623" s="174"/>
      <c r="K623" s="173"/>
      <c r="L623" s="173"/>
    </row>
    <row r="624" spans="4:12" s="170" customFormat="1" x14ac:dyDescent="0.2">
      <c r="D624" s="173"/>
      <c r="E624" s="173"/>
      <c r="F624" s="173"/>
      <c r="G624" s="173"/>
      <c r="J624" s="174"/>
      <c r="K624" s="173"/>
      <c r="L624" s="173"/>
    </row>
    <row r="625" spans="4:12" s="170" customFormat="1" x14ac:dyDescent="0.2">
      <c r="D625" s="173"/>
      <c r="E625" s="173"/>
      <c r="F625" s="173"/>
      <c r="G625" s="173"/>
      <c r="J625" s="174"/>
      <c r="K625" s="173"/>
      <c r="L625" s="173"/>
    </row>
    <row r="626" spans="4:12" s="170" customFormat="1" x14ac:dyDescent="0.2">
      <c r="D626" s="173"/>
      <c r="E626" s="173"/>
      <c r="F626" s="173"/>
      <c r="G626" s="173"/>
      <c r="J626" s="174"/>
      <c r="K626" s="173"/>
      <c r="L626" s="173"/>
    </row>
    <row r="627" spans="4:12" s="170" customFormat="1" x14ac:dyDescent="0.2">
      <c r="D627" s="173"/>
      <c r="E627" s="173"/>
      <c r="F627" s="173"/>
      <c r="G627" s="173"/>
      <c r="J627" s="174"/>
      <c r="K627" s="173"/>
      <c r="L627" s="173"/>
    </row>
    <row r="628" spans="4:12" s="170" customFormat="1" x14ac:dyDescent="0.2">
      <c r="D628" s="173"/>
      <c r="E628" s="173"/>
      <c r="F628" s="173"/>
      <c r="G628" s="173"/>
      <c r="J628" s="174"/>
      <c r="K628" s="173"/>
      <c r="L628" s="173"/>
    </row>
    <row r="629" spans="4:12" s="170" customFormat="1" x14ac:dyDescent="0.2">
      <c r="D629" s="173"/>
      <c r="E629" s="173"/>
      <c r="F629" s="173"/>
      <c r="G629" s="173"/>
      <c r="J629" s="174"/>
      <c r="K629" s="173"/>
      <c r="L629" s="173"/>
    </row>
    <row r="630" spans="4:12" s="170" customFormat="1" x14ac:dyDescent="0.2">
      <c r="D630" s="173"/>
      <c r="E630" s="173"/>
      <c r="F630" s="173"/>
      <c r="G630" s="173"/>
      <c r="J630" s="174"/>
      <c r="K630" s="173"/>
      <c r="L630" s="173"/>
    </row>
    <row r="631" spans="4:12" s="170" customFormat="1" x14ac:dyDescent="0.2">
      <c r="D631" s="173"/>
      <c r="E631" s="173"/>
      <c r="F631" s="173"/>
      <c r="G631" s="173"/>
      <c r="J631" s="174"/>
      <c r="K631" s="173"/>
      <c r="L631" s="173"/>
    </row>
    <row r="632" spans="4:12" s="170" customFormat="1" x14ac:dyDescent="0.2">
      <c r="D632" s="173"/>
      <c r="E632" s="173"/>
      <c r="F632" s="173"/>
      <c r="G632" s="173"/>
      <c r="J632" s="174"/>
      <c r="K632" s="173"/>
      <c r="L632" s="173"/>
    </row>
    <row r="633" spans="4:12" s="170" customFormat="1" x14ac:dyDescent="0.2">
      <c r="D633" s="173"/>
      <c r="E633" s="173"/>
      <c r="F633" s="173"/>
      <c r="G633" s="173"/>
      <c r="J633" s="174"/>
      <c r="K633" s="173"/>
      <c r="L633" s="173"/>
    </row>
    <row r="634" spans="4:12" s="170" customFormat="1" x14ac:dyDescent="0.2">
      <c r="D634" s="173"/>
      <c r="E634" s="173"/>
      <c r="F634" s="173"/>
      <c r="G634" s="173"/>
      <c r="J634" s="174"/>
      <c r="K634" s="173"/>
      <c r="L634" s="173"/>
    </row>
    <row r="635" spans="4:12" s="170" customFormat="1" x14ac:dyDescent="0.2">
      <c r="D635" s="173"/>
      <c r="E635" s="173"/>
      <c r="F635" s="173"/>
      <c r="G635" s="173"/>
      <c r="J635" s="174"/>
      <c r="K635" s="173"/>
      <c r="L635" s="173"/>
    </row>
    <row r="636" spans="4:12" s="170" customFormat="1" x14ac:dyDescent="0.2">
      <c r="D636" s="173"/>
      <c r="E636" s="173"/>
      <c r="F636" s="173"/>
      <c r="G636" s="173"/>
      <c r="J636" s="174"/>
      <c r="K636" s="173"/>
      <c r="L636" s="173"/>
    </row>
    <row r="637" spans="4:12" s="170" customFormat="1" x14ac:dyDescent="0.2">
      <c r="D637" s="173"/>
      <c r="E637" s="173"/>
      <c r="F637" s="173"/>
      <c r="G637" s="173"/>
      <c r="J637" s="174"/>
      <c r="K637" s="173"/>
      <c r="L637" s="173"/>
    </row>
    <row r="638" spans="4:12" s="170" customFormat="1" x14ac:dyDescent="0.2">
      <c r="D638" s="173"/>
      <c r="E638" s="173"/>
      <c r="F638" s="173"/>
      <c r="G638" s="173"/>
      <c r="J638" s="174"/>
      <c r="K638" s="173"/>
      <c r="L638" s="173"/>
    </row>
    <row r="639" spans="4:12" s="170" customFormat="1" x14ac:dyDescent="0.2">
      <c r="D639" s="173"/>
      <c r="E639" s="173"/>
      <c r="F639" s="173"/>
      <c r="G639" s="173"/>
      <c r="J639" s="174"/>
      <c r="K639" s="173"/>
      <c r="L639" s="173"/>
    </row>
    <row r="640" spans="4:12" s="170" customFormat="1" x14ac:dyDescent="0.2">
      <c r="D640" s="173"/>
      <c r="E640" s="173"/>
      <c r="F640" s="173"/>
      <c r="G640" s="173"/>
      <c r="J640" s="174"/>
      <c r="K640" s="173"/>
      <c r="L640" s="173"/>
    </row>
    <row r="641" spans="4:12" s="170" customFormat="1" x14ac:dyDescent="0.2">
      <c r="D641" s="173"/>
      <c r="E641" s="173"/>
      <c r="F641" s="173"/>
      <c r="G641" s="173"/>
      <c r="J641" s="174"/>
      <c r="K641" s="173"/>
      <c r="L641" s="173"/>
    </row>
    <row r="642" spans="4:12" s="170" customFormat="1" x14ac:dyDescent="0.2">
      <c r="D642" s="173"/>
      <c r="E642" s="173"/>
      <c r="F642" s="173"/>
      <c r="G642" s="173"/>
      <c r="J642" s="174"/>
      <c r="K642" s="173"/>
      <c r="L642" s="173"/>
    </row>
    <row r="643" spans="4:12" s="170" customFormat="1" x14ac:dyDescent="0.2">
      <c r="D643" s="173"/>
      <c r="E643" s="173"/>
      <c r="F643" s="173"/>
      <c r="G643" s="173"/>
      <c r="J643" s="174"/>
      <c r="K643" s="173"/>
      <c r="L643" s="173"/>
    </row>
    <row r="644" spans="4:12" s="170" customFormat="1" x14ac:dyDescent="0.2">
      <c r="D644" s="173"/>
      <c r="E644" s="173"/>
      <c r="F644" s="173"/>
      <c r="G644" s="173"/>
      <c r="J644" s="174"/>
      <c r="K644" s="173"/>
      <c r="L644" s="173"/>
    </row>
    <row r="645" spans="4:12" s="170" customFormat="1" x14ac:dyDescent="0.2">
      <c r="D645" s="173"/>
      <c r="E645" s="173"/>
      <c r="F645" s="173"/>
      <c r="G645" s="173"/>
      <c r="J645" s="174"/>
      <c r="K645" s="173"/>
      <c r="L645" s="173"/>
    </row>
    <row r="646" spans="4:12" s="170" customFormat="1" x14ac:dyDescent="0.2">
      <c r="D646" s="173"/>
      <c r="E646" s="173"/>
      <c r="F646" s="173"/>
      <c r="G646" s="173"/>
      <c r="J646" s="174"/>
      <c r="K646" s="173"/>
      <c r="L646" s="173"/>
    </row>
    <row r="647" spans="4:12" s="170" customFormat="1" x14ac:dyDescent="0.2">
      <c r="D647" s="173"/>
      <c r="E647" s="173"/>
      <c r="F647" s="173"/>
      <c r="G647" s="173"/>
      <c r="J647" s="174"/>
      <c r="K647" s="173"/>
      <c r="L647" s="173"/>
    </row>
    <row r="648" spans="4:12" s="170" customFormat="1" x14ac:dyDescent="0.2">
      <c r="D648" s="173"/>
      <c r="E648" s="173"/>
      <c r="F648" s="173"/>
      <c r="G648" s="173"/>
      <c r="J648" s="174"/>
      <c r="K648" s="173"/>
      <c r="L648" s="173"/>
    </row>
    <row r="649" spans="4:12" s="170" customFormat="1" x14ac:dyDescent="0.2">
      <c r="D649" s="173"/>
      <c r="E649" s="173"/>
      <c r="F649" s="173"/>
      <c r="G649" s="173"/>
      <c r="J649" s="174"/>
      <c r="K649" s="173"/>
      <c r="L649" s="173"/>
    </row>
    <row r="650" spans="4:12" s="170" customFormat="1" x14ac:dyDescent="0.2">
      <c r="D650" s="173"/>
      <c r="E650" s="173"/>
      <c r="F650" s="173"/>
      <c r="G650" s="173"/>
      <c r="J650" s="174"/>
      <c r="K650" s="173"/>
      <c r="L650" s="173"/>
    </row>
    <row r="651" spans="4:12" s="170" customFormat="1" x14ac:dyDescent="0.2">
      <c r="D651" s="173"/>
      <c r="E651" s="173"/>
      <c r="F651" s="173"/>
      <c r="G651" s="173"/>
      <c r="J651" s="174"/>
      <c r="K651" s="173"/>
      <c r="L651" s="173"/>
    </row>
    <row r="652" spans="4:12" s="170" customFormat="1" x14ac:dyDescent="0.2">
      <c r="D652" s="173"/>
      <c r="E652" s="173"/>
      <c r="F652" s="173"/>
      <c r="G652" s="173"/>
      <c r="J652" s="174"/>
      <c r="K652" s="173"/>
      <c r="L652" s="173"/>
    </row>
    <row r="653" spans="4:12" s="170" customFormat="1" x14ac:dyDescent="0.2">
      <c r="D653" s="173"/>
      <c r="E653" s="173"/>
      <c r="F653" s="173"/>
      <c r="G653" s="173"/>
      <c r="J653" s="174"/>
      <c r="K653" s="173"/>
      <c r="L653" s="173"/>
    </row>
    <row r="654" spans="4:12" s="170" customFormat="1" x14ac:dyDescent="0.2">
      <c r="D654" s="173"/>
      <c r="E654" s="173"/>
      <c r="F654" s="173"/>
      <c r="G654" s="173"/>
      <c r="J654" s="174"/>
      <c r="K654" s="173"/>
      <c r="L654" s="173"/>
    </row>
    <row r="655" spans="4:12" s="170" customFormat="1" x14ac:dyDescent="0.2">
      <c r="D655" s="173"/>
      <c r="E655" s="173"/>
      <c r="F655" s="173"/>
      <c r="G655" s="173"/>
      <c r="J655" s="174"/>
      <c r="K655" s="173"/>
      <c r="L655" s="173"/>
    </row>
    <row r="656" spans="4:12" s="170" customFormat="1" x14ac:dyDescent="0.2">
      <c r="D656" s="173"/>
      <c r="E656" s="173"/>
      <c r="F656" s="173"/>
      <c r="G656" s="173"/>
      <c r="J656" s="174"/>
      <c r="K656" s="173"/>
      <c r="L656" s="173"/>
    </row>
    <row r="657" spans="4:12" s="170" customFormat="1" x14ac:dyDescent="0.2">
      <c r="D657" s="173"/>
      <c r="E657" s="173"/>
      <c r="F657" s="173"/>
      <c r="G657" s="173"/>
      <c r="J657" s="174"/>
      <c r="K657" s="173"/>
      <c r="L657" s="173"/>
    </row>
    <row r="658" spans="4:12" s="170" customFormat="1" x14ac:dyDescent="0.2">
      <c r="D658" s="173"/>
      <c r="E658" s="173"/>
      <c r="F658" s="173"/>
      <c r="G658" s="173"/>
      <c r="J658" s="174"/>
      <c r="K658" s="173"/>
      <c r="L658" s="173"/>
    </row>
    <row r="659" spans="4:12" s="170" customFormat="1" x14ac:dyDescent="0.2">
      <c r="D659" s="173"/>
      <c r="E659" s="173"/>
      <c r="F659" s="173"/>
      <c r="G659" s="173"/>
      <c r="J659" s="174"/>
      <c r="K659" s="173"/>
      <c r="L659" s="173"/>
    </row>
    <row r="660" spans="4:12" s="170" customFormat="1" x14ac:dyDescent="0.2">
      <c r="D660" s="173"/>
      <c r="E660" s="173"/>
      <c r="F660" s="173"/>
      <c r="G660" s="173"/>
      <c r="J660" s="174"/>
      <c r="K660" s="173"/>
      <c r="L660" s="173"/>
    </row>
    <row r="661" spans="4:12" s="170" customFormat="1" x14ac:dyDescent="0.2">
      <c r="D661" s="173"/>
      <c r="E661" s="173"/>
      <c r="F661" s="173"/>
      <c r="G661" s="173"/>
      <c r="J661" s="174"/>
      <c r="K661" s="173"/>
      <c r="L661" s="173"/>
    </row>
    <row r="662" spans="4:12" s="170" customFormat="1" x14ac:dyDescent="0.2">
      <c r="D662" s="173"/>
      <c r="E662" s="173"/>
      <c r="F662" s="173"/>
      <c r="G662" s="173"/>
      <c r="J662" s="174"/>
      <c r="K662" s="173"/>
      <c r="L662" s="173"/>
    </row>
    <row r="663" spans="4:12" s="170" customFormat="1" x14ac:dyDescent="0.2">
      <c r="D663" s="173"/>
      <c r="E663" s="173"/>
      <c r="F663" s="173"/>
      <c r="G663" s="173"/>
      <c r="J663" s="174"/>
      <c r="K663" s="173"/>
      <c r="L663" s="173"/>
    </row>
    <row r="664" spans="4:12" s="170" customFormat="1" x14ac:dyDescent="0.2">
      <c r="D664" s="173"/>
      <c r="E664" s="173"/>
      <c r="F664" s="173"/>
      <c r="G664" s="173"/>
      <c r="J664" s="174"/>
      <c r="K664" s="173"/>
      <c r="L664" s="173"/>
    </row>
    <row r="665" spans="4:12" s="170" customFormat="1" x14ac:dyDescent="0.2">
      <c r="D665" s="173"/>
      <c r="E665" s="173"/>
      <c r="F665" s="173"/>
      <c r="G665" s="173"/>
      <c r="J665" s="174"/>
      <c r="K665" s="173"/>
      <c r="L665" s="173"/>
    </row>
    <row r="666" spans="4:12" s="170" customFormat="1" x14ac:dyDescent="0.2">
      <c r="D666" s="173"/>
      <c r="E666" s="173"/>
      <c r="F666" s="173"/>
      <c r="G666" s="173"/>
      <c r="J666" s="174"/>
      <c r="K666" s="173"/>
      <c r="L666" s="173"/>
    </row>
    <row r="667" spans="4:12" s="170" customFormat="1" x14ac:dyDescent="0.2">
      <c r="D667" s="173"/>
      <c r="E667" s="173"/>
      <c r="F667" s="173"/>
      <c r="G667" s="173"/>
      <c r="J667" s="174"/>
      <c r="K667" s="173"/>
      <c r="L667" s="173"/>
    </row>
    <row r="668" spans="4:12" s="170" customFormat="1" x14ac:dyDescent="0.2">
      <c r="D668" s="173"/>
      <c r="E668" s="173"/>
      <c r="F668" s="173"/>
      <c r="G668" s="173"/>
      <c r="J668" s="174"/>
      <c r="K668" s="173"/>
      <c r="L668" s="173"/>
    </row>
    <row r="669" spans="4:12" s="170" customFormat="1" x14ac:dyDescent="0.2">
      <c r="D669" s="173"/>
      <c r="E669" s="173"/>
      <c r="F669" s="173"/>
      <c r="G669" s="173"/>
      <c r="J669" s="174"/>
      <c r="K669" s="173"/>
      <c r="L669" s="173"/>
    </row>
    <row r="670" spans="4:12" s="170" customFormat="1" x14ac:dyDescent="0.2">
      <c r="D670" s="173"/>
      <c r="E670" s="173"/>
      <c r="F670" s="173"/>
      <c r="G670" s="173"/>
      <c r="J670" s="174"/>
      <c r="K670" s="173"/>
      <c r="L670" s="173"/>
    </row>
    <row r="671" spans="4:12" s="170" customFormat="1" x14ac:dyDescent="0.2">
      <c r="D671" s="173"/>
      <c r="E671" s="173"/>
      <c r="F671" s="173"/>
      <c r="G671" s="173"/>
      <c r="J671" s="174"/>
      <c r="K671" s="173"/>
      <c r="L671" s="173"/>
    </row>
    <row r="672" spans="4:12" s="170" customFormat="1" x14ac:dyDescent="0.2">
      <c r="D672" s="173"/>
      <c r="E672" s="173"/>
      <c r="F672" s="173"/>
      <c r="G672" s="173"/>
      <c r="J672" s="174"/>
      <c r="K672" s="173"/>
      <c r="L672" s="173"/>
    </row>
    <row r="673" spans="4:12" s="170" customFormat="1" x14ac:dyDescent="0.2">
      <c r="D673" s="173"/>
      <c r="E673" s="173"/>
      <c r="F673" s="173"/>
      <c r="G673" s="173"/>
      <c r="J673" s="174"/>
      <c r="K673" s="173"/>
      <c r="L673" s="173"/>
    </row>
    <row r="674" spans="4:12" s="170" customFormat="1" x14ac:dyDescent="0.2">
      <c r="D674" s="173"/>
      <c r="E674" s="173"/>
      <c r="F674" s="173"/>
      <c r="G674" s="173"/>
      <c r="J674" s="174"/>
      <c r="K674" s="173"/>
      <c r="L674" s="173"/>
    </row>
    <row r="675" spans="4:12" s="170" customFormat="1" x14ac:dyDescent="0.2">
      <c r="D675" s="173"/>
      <c r="E675" s="173"/>
      <c r="F675" s="173"/>
      <c r="G675" s="173"/>
      <c r="J675" s="174"/>
      <c r="K675" s="173"/>
      <c r="L675" s="173"/>
    </row>
    <row r="676" spans="4:12" s="170" customFormat="1" x14ac:dyDescent="0.2">
      <c r="D676" s="173"/>
      <c r="E676" s="173"/>
      <c r="F676" s="173"/>
      <c r="G676" s="173"/>
      <c r="J676" s="174"/>
      <c r="K676" s="173"/>
      <c r="L676" s="173"/>
    </row>
    <row r="677" spans="4:12" s="170" customFormat="1" x14ac:dyDescent="0.2">
      <c r="D677" s="173"/>
      <c r="E677" s="173"/>
      <c r="F677" s="173"/>
      <c r="G677" s="173"/>
      <c r="J677" s="174"/>
      <c r="K677" s="173"/>
      <c r="L677" s="173"/>
    </row>
    <row r="678" spans="4:12" s="170" customFormat="1" x14ac:dyDescent="0.2">
      <c r="D678" s="173"/>
      <c r="E678" s="173"/>
      <c r="F678" s="173"/>
      <c r="G678" s="173"/>
      <c r="J678" s="174"/>
      <c r="K678" s="173"/>
      <c r="L678" s="173"/>
    </row>
    <row r="679" spans="4:12" s="170" customFormat="1" x14ac:dyDescent="0.2">
      <c r="D679" s="173"/>
      <c r="E679" s="173"/>
      <c r="F679" s="173"/>
      <c r="G679" s="173"/>
      <c r="J679" s="174"/>
      <c r="K679" s="173"/>
      <c r="L679" s="173"/>
    </row>
    <row r="680" spans="4:12" s="170" customFormat="1" x14ac:dyDescent="0.2">
      <c r="D680" s="173"/>
      <c r="E680" s="173"/>
      <c r="F680" s="173"/>
      <c r="G680" s="173"/>
      <c r="J680" s="174"/>
      <c r="K680" s="173"/>
      <c r="L680" s="173"/>
    </row>
    <row r="681" spans="4:12" s="170" customFormat="1" x14ac:dyDescent="0.2">
      <c r="D681" s="173"/>
      <c r="E681" s="173"/>
      <c r="F681" s="173"/>
      <c r="G681" s="173"/>
      <c r="J681" s="174"/>
      <c r="K681" s="173"/>
      <c r="L681" s="173"/>
    </row>
    <row r="682" spans="4:12" s="170" customFormat="1" x14ac:dyDescent="0.2">
      <c r="D682" s="173"/>
      <c r="E682" s="173"/>
      <c r="F682" s="173"/>
      <c r="G682" s="173"/>
      <c r="J682" s="174"/>
      <c r="K682" s="173"/>
      <c r="L682" s="173"/>
    </row>
    <row r="683" spans="4:12" s="170" customFormat="1" x14ac:dyDescent="0.2">
      <c r="D683" s="173"/>
      <c r="E683" s="173"/>
      <c r="F683" s="173"/>
      <c r="G683" s="173"/>
      <c r="J683" s="174"/>
      <c r="K683" s="173"/>
      <c r="L683" s="173"/>
    </row>
    <row r="684" spans="4:12" s="170" customFormat="1" x14ac:dyDescent="0.2">
      <c r="D684" s="173"/>
      <c r="E684" s="173"/>
      <c r="F684" s="173"/>
      <c r="G684" s="173"/>
      <c r="J684" s="174"/>
      <c r="K684" s="173"/>
      <c r="L684" s="173"/>
    </row>
    <row r="685" spans="4:12" s="170" customFormat="1" x14ac:dyDescent="0.2">
      <c r="D685" s="173"/>
      <c r="E685" s="173"/>
      <c r="F685" s="173"/>
      <c r="G685" s="173"/>
      <c r="J685" s="174"/>
      <c r="K685" s="173"/>
      <c r="L685" s="173"/>
    </row>
    <row r="686" spans="4:12" s="170" customFormat="1" x14ac:dyDescent="0.2">
      <c r="D686" s="173"/>
      <c r="E686" s="173"/>
      <c r="F686" s="173"/>
      <c r="G686" s="173"/>
      <c r="J686" s="174"/>
      <c r="K686" s="173"/>
      <c r="L686" s="173"/>
    </row>
    <row r="687" spans="4:12" s="170" customFormat="1" x14ac:dyDescent="0.2">
      <c r="D687" s="173"/>
      <c r="E687" s="173"/>
      <c r="F687" s="173"/>
      <c r="G687" s="173"/>
      <c r="J687" s="174"/>
      <c r="K687" s="173"/>
      <c r="L687" s="173"/>
    </row>
    <row r="688" spans="4:12" s="170" customFormat="1" x14ac:dyDescent="0.2">
      <c r="D688" s="173"/>
      <c r="E688" s="173"/>
      <c r="F688" s="173"/>
      <c r="G688" s="173"/>
      <c r="J688" s="174"/>
      <c r="K688" s="173"/>
      <c r="L688" s="173"/>
    </row>
    <row r="689" spans="4:12" s="170" customFormat="1" x14ac:dyDescent="0.2">
      <c r="D689" s="173"/>
      <c r="E689" s="173"/>
      <c r="F689" s="173"/>
      <c r="G689" s="173"/>
      <c r="J689" s="174"/>
      <c r="K689" s="173"/>
      <c r="L689" s="173"/>
    </row>
    <row r="690" spans="4:12" s="170" customFormat="1" x14ac:dyDescent="0.2">
      <c r="D690" s="173"/>
      <c r="E690" s="173"/>
      <c r="F690" s="173"/>
      <c r="G690" s="173"/>
      <c r="J690" s="174"/>
      <c r="K690" s="173"/>
      <c r="L690" s="173"/>
    </row>
    <row r="691" spans="4:12" s="170" customFormat="1" x14ac:dyDescent="0.2">
      <c r="D691" s="173"/>
      <c r="E691" s="173"/>
      <c r="F691" s="173"/>
      <c r="G691" s="173"/>
      <c r="J691" s="174"/>
      <c r="K691" s="173"/>
      <c r="L691" s="173"/>
    </row>
    <row r="692" spans="4:12" s="170" customFormat="1" x14ac:dyDescent="0.2">
      <c r="D692" s="173"/>
      <c r="E692" s="173"/>
      <c r="F692" s="173"/>
      <c r="G692" s="173"/>
      <c r="J692" s="174"/>
      <c r="K692" s="173"/>
      <c r="L692" s="173"/>
    </row>
    <row r="693" spans="4:12" s="170" customFormat="1" x14ac:dyDescent="0.2">
      <c r="D693" s="173"/>
      <c r="E693" s="173"/>
      <c r="F693" s="173"/>
      <c r="G693" s="173"/>
      <c r="J693" s="174"/>
      <c r="K693" s="173"/>
      <c r="L693" s="173"/>
    </row>
    <row r="694" spans="4:12" s="170" customFormat="1" x14ac:dyDescent="0.2">
      <c r="D694" s="173"/>
      <c r="E694" s="173"/>
      <c r="F694" s="173"/>
      <c r="G694" s="173"/>
      <c r="J694" s="174"/>
      <c r="K694" s="173"/>
      <c r="L694" s="173"/>
    </row>
    <row r="695" spans="4:12" s="170" customFormat="1" x14ac:dyDescent="0.2">
      <c r="D695" s="173"/>
      <c r="E695" s="173"/>
      <c r="F695" s="173"/>
      <c r="G695" s="173"/>
      <c r="J695" s="174"/>
      <c r="K695" s="173"/>
      <c r="L695" s="173"/>
    </row>
    <row r="696" spans="4:12" s="170" customFormat="1" x14ac:dyDescent="0.2">
      <c r="D696" s="173"/>
      <c r="E696" s="173"/>
      <c r="F696" s="173"/>
      <c r="G696" s="173"/>
      <c r="J696" s="174"/>
      <c r="K696" s="173"/>
      <c r="L696" s="173"/>
    </row>
    <row r="697" spans="4:12" s="170" customFormat="1" x14ac:dyDescent="0.2">
      <c r="D697" s="173"/>
      <c r="E697" s="173"/>
      <c r="F697" s="173"/>
      <c r="G697" s="173"/>
      <c r="J697" s="174"/>
      <c r="K697" s="173"/>
      <c r="L697" s="173"/>
    </row>
    <row r="698" spans="4:12" s="170" customFormat="1" x14ac:dyDescent="0.2">
      <c r="D698" s="173"/>
      <c r="E698" s="173"/>
      <c r="F698" s="173"/>
      <c r="G698" s="173"/>
      <c r="J698" s="174"/>
      <c r="K698" s="173"/>
      <c r="L698" s="173"/>
    </row>
    <row r="699" spans="4:12" s="170" customFormat="1" x14ac:dyDescent="0.2">
      <c r="D699" s="173"/>
      <c r="E699" s="173"/>
      <c r="F699" s="173"/>
      <c r="G699" s="173"/>
      <c r="J699" s="174"/>
      <c r="K699" s="173"/>
      <c r="L699" s="173"/>
    </row>
    <row r="700" spans="4:12" s="170" customFormat="1" x14ac:dyDescent="0.2">
      <c r="D700" s="173"/>
      <c r="E700" s="173"/>
      <c r="F700" s="173"/>
      <c r="G700" s="173"/>
      <c r="J700" s="174"/>
      <c r="K700" s="173"/>
      <c r="L700" s="173"/>
    </row>
    <row r="701" spans="4:12" s="170" customFormat="1" x14ac:dyDescent="0.2">
      <c r="D701" s="173"/>
      <c r="E701" s="173"/>
      <c r="F701" s="173"/>
      <c r="G701" s="173"/>
      <c r="J701" s="174"/>
      <c r="K701" s="173"/>
      <c r="L701" s="173"/>
    </row>
    <row r="702" spans="4:12" s="170" customFormat="1" x14ac:dyDescent="0.2">
      <c r="D702" s="173"/>
      <c r="E702" s="173"/>
      <c r="F702" s="173"/>
      <c r="G702" s="173"/>
      <c r="J702" s="174"/>
      <c r="K702" s="173"/>
      <c r="L702" s="173"/>
    </row>
    <row r="703" spans="4:12" s="170" customFormat="1" x14ac:dyDescent="0.2">
      <c r="D703" s="173"/>
      <c r="E703" s="173"/>
      <c r="F703" s="173"/>
      <c r="G703" s="173"/>
      <c r="J703" s="174"/>
      <c r="K703" s="173"/>
      <c r="L703" s="173"/>
    </row>
    <row r="704" spans="4:12" s="170" customFormat="1" x14ac:dyDescent="0.2">
      <c r="D704" s="173"/>
      <c r="E704" s="173"/>
      <c r="F704" s="173"/>
      <c r="G704" s="173"/>
      <c r="J704" s="174"/>
      <c r="K704" s="173"/>
      <c r="L704" s="173"/>
    </row>
    <row r="705" spans="4:12" s="170" customFormat="1" x14ac:dyDescent="0.2">
      <c r="D705" s="173"/>
      <c r="E705" s="173"/>
      <c r="F705" s="173"/>
      <c r="G705" s="173"/>
      <c r="J705" s="174"/>
      <c r="K705" s="173"/>
      <c r="L705" s="173"/>
    </row>
    <row r="706" spans="4:12" s="170" customFormat="1" x14ac:dyDescent="0.2">
      <c r="D706" s="173"/>
      <c r="E706" s="173"/>
      <c r="F706" s="173"/>
      <c r="G706" s="173"/>
      <c r="J706" s="174"/>
      <c r="K706" s="173"/>
      <c r="L706" s="173"/>
    </row>
    <row r="707" spans="4:12" s="170" customFormat="1" x14ac:dyDescent="0.2">
      <c r="D707" s="173"/>
      <c r="E707" s="173"/>
      <c r="F707" s="173"/>
      <c r="G707" s="173"/>
      <c r="J707" s="174"/>
      <c r="K707" s="173"/>
      <c r="L707" s="173"/>
    </row>
    <row r="708" spans="4:12" s="170" customFormat="1" x14ac:dyDescent="0.2">
      <c r="D708" s="173"/>
      <c r="E708" s="173"/>
      <c r="F708" s="173"/>
      <c r="G708" s="173"/>
      <c r="J708" s="174"/>
      <c r="K708" s="173"/>
      <c r="L708" s="173"/>
    </row>
    <row r="709" spans="4:12" s="170" customFormat="1" x14ac:dyDescent="0.2">
      <c r="D709" s="173"/>
      <c r="E709" s="173"/>
      <c r="F709" s="173"/>
      <c r="G709" s="173"/>
      <c r="J709" s="174"/>
      <c r="K709" s="173"/>
      <c r="L709" s="173"/>
    </row>
    <row r="710" spans="4:12" s="170" customFormat="1" x14ac:dyDescent="0.2">
      <c r="D710" s="173"/>
      <c r="E710" s="173"/>
      <c r="F710" s="173"/>
      <c r="G710" s="173"/>
      <c r="J710" s="174"/>
      <c r="K710" s="173"/>
      <c r="L710" s="173"/>
    </row>
    <row r="711" spans="4:12" s="170" customFormat="1" x14ac:dyDescent="0.2">
      <c r="D711" s="173"/>
      <c r="E711" s="173"/>
      <c r="F711" s="173"/>
      <c r="G711" s="173"/>
      <c r="J711" s="174"/>
      <c r="K711" s="173"/>
      <c r="L711" s="173"/>
    </row>
    <row r="712" spans="4:12" s="170" customFormat="1" x14ac:dyDescent="0.2">
      <c r="D712" s="173"/>
      <c r="E712" s="173"/>
      <c r="F712" s="173"/>
      <c r="G712" s="173"/>
      <c r="J712" s="174"/>
      <c r="K712" s="173"/>
      <c r="L712" s="173"/>
    </row>
    <row r="713" spans="4:12" s="170" customFormat="1" x14ac:dyDescent="0.2">
      <c r="D713" s="173"/>
      <c r="E713" s="173"/>
      <c r="F713" s="173"/>
      <c r="G713" s="173"/>
      <c r="J713" s="174"/>
      <c r="K713" s="173"/>
      <c r="L713" s="173"/>
    </row>
    <row r="714" spans="4:12" s="170" customFormat="1" x14ac:dyDescent="0.2">
      <c r="D714" s="173"/>
      <c r="E714" s="173"/>
      <c r="F714" s="173"/>
      <c r="G714" s="173"/>
      <c r="J714" s="174"/>
      <c r="K714" s="173"/>
      <c r="L714" s="173"/>
    </row>
    <row r="715" spans="4:12" s="170" customFormat="1" x14ac:dyDescent="0.2">
      <c r="D715" s="173"/>
      <c r="E715" s="173"/>
      <c r="F715" s="173"/>
      <c r="G715" s="173"/>
      <c r="J715" s="174"/>
      <c r="K715" s="173"/>
      <c r="L715" s="173"/>
    </row>
    <row r="716" spans="4:12" s="170" customFormat="1" x14ac:dyDescent="0.2">
      <c r="D716" s="173"/>
      <c r="E716" s="173"/>
      <c r="F716" s="173"/>
      <c r="G716" s="173"/>
      <c r="J716" s="174"/>
      <c r="K716" s="173"/>
      <c r="L716" s="173"/>
    </row>
    <row r="717" spans="4:12" s="170" customFormat="1" x14ac:dyDescent="0.2">
      <c r="D717" s="173"/>
      <c r="E717" s="173"/>
      <c r="F717" s="173"/>
      <c r="G717" s="173"/>
      <c r="J717" s="174"/>
      <c r="K717" s="173"/>
      <c r="L717" s="173"/>
    </row>
    <row r="718" spans="4:12" s="170" customFormat="1" x14ac:dyDescent="0.2">
      <c r="D718" s="173"/>
      <c r="E718" s="173"/>
      <c r="F718" s="173"/>
      <c r="G718" s="173"/>
      <c r="J718" s="174"/>
      <c r="K718" s="173"/>
      <c r="L718" s="173"/>
    </row>
    <row r="719" spans="4:12" s="170" customFormat="1" x14ac:dyDescent="0.2">
      <c r="D719" s="173"/>
      <c r="E719" s="173"/>
      <c r="F719" s="173"/>
      <c r="G719" s="173"/>
      <c r="J719" s="174"/>
      <c r="K719" s="173"/>
      <c r="L719" s="173"/>
    </row>
    <row r="720" spans="4:12" s="170" customFormat="1" x14ac:dyDescent="0.2">
      <c r="D720" s="173"/>
      <c r="E720" s="173"/>
      <c r="F720" s="173"/>
      <c r="G720" s="173"/>
      <c r="J720" s="174"/>
      <c r="K720" s="173"/>
      <c r="L720" s="173"/>
    </row>
    <row r="721" spans="4:12" s="170" customFormat="1" x14ac:dyDescent="0.2">
      <c r="D721" s="173"/>
      <c r="E721" s="173"/>
      <c r="F721" s="173"/>
      <c r="G721" s="173"/>
      <c r="J721" s="174"/>
      <c r="K721" s="173"/>
      <c r="L721" s="173"/>
    </row>
    <row r="722" spans="4:12" s="170" customFormat="1" x14ac:dyDescent="0.2">
      <c r="D722" s="173"/>
      <c r="E722" s="173"/>
      <c r="F722" s="173"/>
      <c r="G722" s="173"/>
      <c r="J722" s="174"/>
      <c r="K722" s="173"/>
      <c r="L722" s="173"/>
    </row>
    <row r="723" spans="4:12" s="170" customFormat="1" x14ac:dyDescent="0.2">
      <c r="D723" s="173"/>
      <c r="E723" s="173"/>
      <c r="F723" s="173"/>
      <c r="G723" s="173"/>
      <c r="J723" s="174"/>
      <c r="K723" s="173"/>
      <c r="L723" s="173"/>
    </row>
    <row r="724" spans="4:12" s="170" customFormat="1" x14ac:dyDescent="0.2">
      <c r="D724" s="173"/>
      <c r="E724" s="173"/>
      <c r="F724" s="173"/>
      <c r="G724" s="173"/>
      <c r="J724" s="174"/>
      <c r="K724" s="173"/>
      <c r="L724" s="173"/>
    </row>
    <row r="725" spans="4:12" s="170" customFormat="1" x14ac:dyDescent="0.2">
      <c r="D725" s="173"/>
      <c r="E725" s="173"/>
      <c r="F725" s="173"/>
      <c r="G725" s="173"/>
      <c r="J725" s="174"/>
      <c r="K725" s="173"/>
      <c r="L725" s="173"/>
    </row>
    <row r="726" spans="4:12" s="170" customFormat="1" x14ac:dyDescent="0.2">
      <c r="D726" s="173"/>
      <c r="E726" s="173"/>
      <c r="F726" s="173"/>
      <c r="G726" s="173"/>
      <c r="J726" s="174"/>
      <c r="K726" s="173"/>
      <c r="L726" s="173"/>
    </row>
    <row r="727" spans="4:12" s="170" customFormat="1" x14ac:dyDescent="0.2">
      <c r="D727" s="173"/>
      <c r="E727" s="173"/>
      <c r="F727" s="173"/>
      <c r="G727" s="173"/>
      <c r="J727" s="174"/>
      <c r="K727" s="173"/>
      <c r="L727" s="173"/>
    </row>
    <row r="728" spans="4:12" s="170" customFormat="1" x14ac:dyDescent="0.2">
      <c r="D728" s="173"/>
      <c r="E728" s="173"/>
      <c r="F728" s="173"/>
      <c r="G728" s="173"/>
      <c r="J728" s="174"/>
      <c r="K728" s="173"/>
      <c r="L728" s="173"/>
    </row>
    <row r="729" spans="4:12" s="170" customFormat="1" x14ac:dyDescent="0.2">
      <c r="D729" s="173"/>
      <c r="E729" s="173"/>
      <c r="F729" s="173"/>
      <c r="G729" s="173"/>
      <c r="J729" s="174"/>
      <c r="K729" s="173"/>
      <c r="L729" s="173"/>
    </row>
    <row r="730" spans="4:12" s="170" customFormat="1" x14ac:dyDescent="0.2">
      <c r="D730" s="173"/>
      <c r="E730" s="173"/>
      <c r="F730" s="173"/>
      <c r="G730" s="173"/>
      <c r="J730" s="174"/>
      <c r="K730" s="173"/>
      <c r="L730" s="173"/>
    </row>
    <row r="731" spans="4:12" s="170" customFormat="1" x14ac:dyDescent="0.2">
      <c r="D731" s="173"/>
      <c r="E731" s="173"/>
      <c r="F731" s="173"/>
      <c r="G731" s="173"/>
      <c r="J731" s="174"/>
      <c r="K731" s="173"/>
      <c r="L731" s="173"/>
    </row>
    <row r="732" spans="4:12" s="170" customFormat="1" x14ac:dyDescent="0.2">
      <c r="D732" s="173"/>
      <c r="E732" s="173"/>
      <c r="F732" s="173"/>
      <c r="G732" s="173"/>
      <c r="J732" s="174"/>
      <c r="K732" s="173"/>
      <c r="L732" s="173"/>
    </row>
    <row r="733" spans="4:12" s="170" customFormat="1" x14ac:dyDescent="0.2">
      <c r="D733" s="173"/>
      <c r="E733" s="173"/>
      <c r="F733" s="173"/>
      <c r="G733" s="173"/>
      <c r="J733" s="174"/>
      <c r="K733" s="173"/>
      <c r="L733" s="173"/>
    </row>
    <row r="734" spans="4:12" s="170" customFormat="1" x14ac:dyDescent="0.2">
      <c r="D734" s="173"/>
      <c r="E734" s="173"/>
      <c r="F734" s="173"/>
      <c r="G734" s="173"/>
      <c r="J734" s="174"/>
      <c r="K734" s="173"/>
      <c r="L734" s="173"/>
    </row>
    <row r="735" spans="4:12" s="170" customFormat="1" x14ac:dyDescent="0.2">
      <c r="D735" s="173"/>
      <c r="E735" s="173"/>
      <c r="F735" s="173"/>
      <c r="G735" s="173"/>
      <c r="J735" s="174"/>
      <c r="K735" s="173"/>
      <c r="L735" s="173"/>
    </row>
    <row r="736" spans="4:12" s="170" customFormat="1" x14ac:dyDescent="0.2">
      <c r="D736" s="173"/>
      <c r="E736" s="173"/>
      <c r="F736" s="173"/>
      <c r="G736" s="173"/>
      <c r="J736" s="174"/>
      <c r="K736" s="173"/>
      <c r="L736" s="173"/>
    </row>
    <row r="737" spans="4:12" s="170" customFormat="1" x14ac:dyDescent="0.2">
      <c r="D737" s="173"/>
      <c r="E737" s="173"/>
      <c r="F737" s="173"/>
      <c r="G737" s="173"/>
      <c r="J737" s="174"/>
      <c r="K737" s="173"/>
      <c r="L737" s="173"/>
    </row>
    <row r="738" spans="4:12" s="170" customFormat="1" x14ac:dyDescent="0.2">
      <c r="D738" s="173"/>
      <c r="E738" s="173"/>
      <c r="F738" s="173"/>
      <c r="G738" s="173"/>
      <c r="J738" s="174"/>
      <c r="K738" s="173"/>
      <c r="L738" s="173"/>
    </row>
    <row r="739" spans="4:12" s="170" customFormat="1" x14ac:dyDescent="0.2">
      <c r="D739" s="173"/>
      <c r="E739" s="173"/>
      <c r="F739" s="173"/>
      <c r="G739" s="173"/>
      <c r="J739" s="174"/>
      <c r="K739" s="173"/>
      <c r="L739" s="173"/>
    </row>
    <row r="740" spans="4:12" s="170" customFormat="1" x14ac:dyDescent="0.2">
      <c r="D740" s="173"/>
      <c r="E740" s="173"/>
      <c r="F740" s="173"/>
      <c r="G740" s="173"/>
      <c r="J740" s="174"/>
      <c r="K740" s="173"/>
      <c r="L740" s="173"/>
    </row>
    <row r="741" spans="4:12" s="170" customFormat="1" x14ac:dyDescent="0.2">
      <c r="D741" s="173"/>
      <c r="E741" s="173"/>
      <c r="F741" s="173"/>
      <c r="G741" s="173"/>
      <c r="J741" s="174"/>
      <c r="K741" s="173"/>
      <c r="L741" s="173"/>
    </row>
    <row r="742" spans="4:12" s="170" customFormat="1" x14ac:dyDescent="0.2">
      <c r="D742" s="173"/>
      <c r="E742" s="173"/>
      <c r="F742" s="173"/>
      <c r="G742" s="173"/>
      <c r="J742" s="174"/>
      <c r="K742" s="173"/>
      <c r="L742" s="173"/>
    </row>
    <row r="743" spans="4:12" s="170" customFormat="1" x14ac:dyDescent="0.2">
      <c r="D743" s="173"/>
      <c r="E743" s="173"/>
      <c r="F743" s="173"/>
      <c r="G743" s="173"/>
      <c r="J743" s="174"/>
      <c r="K743" s="173"/>
      <c r="L743" s="173"/>
    </row>
    <row r="744" spans="4:12" s="170" customFormat="1" x14ac:dyDescent="0.2">
      <c r="D744" s="173"/>
      <c r="E744" s="173"/>
      <c r="F744" s="173"/>
      <c r="G744" s="173"/>
      <c r="J744" s="174"/>
      <c r="K744" s="173"/>
      <c r="L744" s="173"/>
    </row>
    <row r="745" spans="4:12" s="170" customFormat="1" x14ac:dyDescent="0.2">
      <c r="D745" s="173"/>
      <c r="E745" s="173"/>
      <c r="F745" s="173"/>
      <c r="G745" s="173"/>
      <c r="J745" s="174"/>
      <c r="K745" s="173"/>
      <c r="L745" s="173"/>
    </row>
    <row r="746" spans="4:12" s="170" customFormat="1" x14ac:dyDescent="0.2">
      <c r="D746" s="173"/>
      <c r="E746" s="173"/>
      <c r="F746" s="173"/>
      <c r="G746" s="173"/>
      <c r="J746" s="174"/>
      <c r="K746" s="173"/>
      <c r="L746" s="173"/>
    </row>
    <row r="747" spans="4:12" s="170" customFormat="1" x14ac:dyDescent="0.2">
      <c r="D747" s="173"/>
      <c r="E747" s="173"/>
      <c r="F747" s="173"/>
      <c r="G747" s="173"/>
      <c r="J747" s="174"/>
      <c r="K747" s="173"/>
      <c r="L747" s="173"/>
    </row>
    <row r="748" spans="4:12" s="170" customFormat="1" x14ac:dyDescent="0.2">
      <c r="D748" s="173"/>
      <c r="E748" s="173"/>
      <c r="F748" s="173"/>
      <c r="G748" s="173"/>
      <c r="J748" s="174"/>
      <c r="K748" s="173"/>
      <c r="L748" s="173"/>
    </row>
    <row r="749" spans="4:12" s="170" customFormat="1" x14ac:dyDescent="0.2">
      <c r="D749" s="173"/>
      <c r="E749" s="173"/>
      <c r="F749" s="173"/>
      <c r="G749" s="173"/>
      <c r="J749" s="174"/>
      <c r="K749" s="173"/>
      <c r="L749" s="173"/>
    </row>
    <row r="750" spans="4:12" s="170" customFormat="1" x14ac:dyDescent="0.2">
      <c r="D750" s="173"/>
      <c r="E750" s="173"/>
      <c r="F750" s="173"/>
      <c r="G750" s="173"/>
      <c r="J750" s="174"/>
      <c r="K750" s="173"/>
      <c r="L750" s="173"/>
    </row>
    <row r="751" spans="4:12" s="170" customFormat="1" x14ac:dyDescent="0.2">
      <c r="D751" s="173"/>
      <c r="E751" s="173"/>
      <c r="F751" s="173"/>
      <c r="G751" s="173"/>
      <c r="J751" s="174"/>
      <c r="K751" s="173"/>
      <c r="L751" s="173"/>
    </row>
    <row r="752" spans="4:12" s="170" customFormat="1" x14ac:dyDescent="0.2">
      <c r="D752" s="173"/>
      <c r="E752" s="173"/>
      <c r="F752" s="173"/>
      <c r="G752" s="173"/>
      <c r="J752" s="174"/>
      <c r="K752" s="173"/>
      <c r="L752" s="173"/>
    </row>
    <row r="753" spans="4:12" s="170" customFormat="1" x14ac:dyDescent="0.2">
      <c r="D753" s="173"/>
      <c r="E753" s="173"/>
      <c r="F753" s="173"/>
      <c r="G753" s="173"/>
      <c r="J753" s="174"/>
      <c r="K753" s="173"/>
      <c r="L753" s="173"/>
    </row>
    <row r="754" spans="4:12" s="170" customFormat="1" x14ac:dyDescent="0.2">
      <c r="D754" s="173"/>
      <c r="E754" s="173"/>
      <c r="F754" s="173"/>
      <c r="G754" s="173"/>
      <c r="J754" s="174"/>
      <c r="K754" s="173"/>
      <c r="L754" s="173"/>
    </row>
    <row r="755" spans="4:12" s="170" customFormat="1" x14ac:dyDescent="0.2">
      <c r="D755" s="173"/>
      <c r="E755" s="173"/>
      <c r="F755" s="173"/>
      <c r="G755" s="173"/>
      <c r="J755" s="174"/>
      <c r="K755" s="173"/>
      <c r="L755" s="173"/>
    </row>
    <row r="756" spans="4:12" s="170" customFormat="1" x14ac:dyDescent="0.2">
      <c r="D756" s="173"/>
      <c r="E756" s="173"/>
      <c r="F756" s="173"/>
      <c r="G756" s="173"/>
      <c r="J756" s="174"/>
      <c r="K756" s="173"/>
      <c r="L756" s="173"/>
    </row>
    <row r="757" spans="4:12" s="170" customFormat="1" x14ac:dyDescent="0.2">
      <c r="D757" s="173"/>
      <c r="E757" s="173"/>
      <c r="F757" s="173"/>
      <c r="G757" s="173"/>
      <c r="J757" s="174"/>
      <c r="K757" s="173"/>
      <c r="L757" s="173"/>
    </row>
    <row r="758" spans="4:12" s="170" customFormat="1" x14ac:dyDescent="0.2">
      <c r="D758" s="173"/>
      <c r="E758" s="173"/>
      <c r="F758" s="173"/>
      <c r="G758" s="173"/>
      <c r="J758" s="174"/>
      <c r="K758" s="173"/>
      <c r="L758" s="173"/>
    </row>
    <row r="759" spans="4:12" s="170" customFormat="1" x14ac:dyDescent="0.2">
      <c r="D759" s="173"/>
      <c r="E759" s="173"/>
      <c r="F759" s="173"/>
      <c r="G759" s="173"/>
      <c r="J759" s="174"/>
      <c r="K759" s="173"/>
      <c r="L759" s="173"/>
    </row>
    <row r="760" spans="4:12" s="170" customFormat="1" x14ac:dyDescent="0.2">
      <c r="D760" s="173"/>
      <c r="E760" s="173"/>
      <c r="F760" s="173"/>
      <c r="G760" s="173"/>
      <c r="J760" s="174"/>
      <c r="K760" s="173"/>
      <c r="L760" s="173"/>
    </row>
    <row r="761" spans="4:12" s="170" customFormat="1" x14ac:dyDescent="0.2">
      <c r="D761" s="173"/>
      <c r="E761" s="173"/>
      <c r="F761" s="173"/>
      <c r="G761" s="173"/>
      <c r="J761" s="174"/>
      <c r="K761" s="173"/>
      <c r="L761" s="173"/>
    </row>
    <row r="762" spans="4:12" s="170" customFormat="1" x14ac:dyDescent="0.2">
      <c r="D762" s="173"/>
      <c r="E762" s="173"/>
      <c r="F762" s="173"/>
      <c r="G762" s="173"/>
      <c r="J762" s="174"/>
      <c r="K762" s="173"/>
      <c r="L762" s="173"/>
    </row>
    <row r="763" spans="4:12" s="170" customFormat="1" x14ac:dyDescent="0.2">
      <c r="D763" s="173"/>
      <c r="E763" s="173"/>
      <c r="F763" s="173"/>
      <c r="G763" s="173"/>
      <c r="J763" s="174"/>
      <c r="K763" s="173"/>
      <c r="L763" s="173"/>
    </row>
    <row r="764" spans="4:12" s="170" customFormat="1" x14ac:dyDescent="0.2">
      <c r="D764" s="173"/>
      <c r="E764" s="173"/>
      <c r="F764" s="173"/>
      <c r="G764" s="173"/>
      <c r="J764" s="174"/>
      <c r="K764" s="173"/>
      <c r="L764" s="173"/>
    </row>
    <row r="765" spans="4:12" s="170" customFormat="1" x14ac:dyDescent="0.2">
      <c r="D765" s="173"/>
      <c r="E765" s="173"/>
      <c r="F765" s="173"/>
      <c r="G765" s="173"/>
      <c r="J765" s="174"/>
      <c r="K765" s="173"/>
      <c r="L765" s="173"/>
    </row>
    <row r="766" spans="4:12" s="170" customFormat="1" x14ac:dyDescent="0.2">
      <c r="D766" s="173"/>
      <c r="E766" s="173"/>
      <c r="F766" s="173"/>
      <c r="G766" s="173"/>
      <c r="J766" s="174"/>
      <c r="K766" s="173"/>
      <c r="L766" s="173"/>
    </row>
    <row r="767" spans="4:12" s="170" customFormat="1" x14ac:dyDescent="0.2">
      <c r="D767" s="173"/>
      <c r="E767" s="173"/>
      <c r="F767" s="173"/>
      <c r="G767" s="173"/>
      <c r="J767" s="174"/>
      <c r="K767" s="173"/>
      <c r="L767" s="173"/>
    </row>
    <row r="768" spans="4:12" s="170" customFormat="1" x14ac:dyDescent="0.2">
      <c r="D768" s="173"/>
      <c r="E768" s="173"/>
      <c r="F768" s="173"/>
      <c r="G768" s="173"/>
      <c r="J768" s="174"/>
      <c r="K768" s="173"/>
      <c r="L768" s="173"/>
    </row>
    <row r="769" spans="4:12" s="170" customFormat="1" x14ac:dyDescent="0.2">
      <c r="D769" s="173"/>
      <c r="E769" s="173"/>
      <c r="F769" s="173"/>
      <c r="G769" s="173"/>
      <c r="J769" s="174"/>
      <c r="K769" s="173"/>
      <c r="L769" s="173"/>
    </row>
    <row r="770" spans="4:12" s="170" customFormat="1" x14ac:dyDescent="0.2">
      <c r="D770" s="173"/>
      <c r="E770" s="173"/>
      <c r="F770" s="173"/>
      <c r="G770" s="173"/>
      <c r="J770" s="174"/>
      <c r="K770" s="173"/>
      <c r="L770" s="173"/>
    </row>
    <row r="771" spans="4:12" s="170" customFormat="1" x14ac:dyDescent="0.2">
      <c r="D771" s="173"/>
      <c r="E771" s="173"/>
      <c r="F771" s="173"/>
      <c r="G771" s="173"/>
      <c r="J771" s="174"/>
      <c r="K771" s="173"/>
      <c r="L771" s="173"/>
    </row>
    <row r="772" spans="4:12" s="170" customFormat="1" x14ac:dyDescent="0.2">
      <c r="D772" s="173"/>
      <c r="E772" s="173"/>
      <c r="F772" s="173"/>
      <c r="G772" s="173"/>
      <c r="J772" s="174"/>
      <c r="K772" s="173"/>
      <c r="L772" s="173"/>
    </row>
    <row r="773" spans="4:12" s="170" customFormat="1" x14ac:dyDescent="0.2">
      <c r="D773" s="173"/>
      <c r="E773" s="173"/>
      <c r="F773" s="173"/>
      <c r="G773" s="173"/>
      <c r="J773" s="174"/>
      <c r="K773" s="173"/>
      <c r="L773" s="173"/>
    </row>
    <row r="774" spans="4:12" s="170" customFormat="1" x14ac:dyDescent="0.2">
      <c r="D774" s="173"/>
      <c r="E774" s="173"/>
      <c r="F774" s="173"/>
      <c r="G774" s="173"/>
      <c r="J774" s="174"/>
      <c r="K774" s="173"/>
      <c r="L774" s="173"/>
    </row>
    <row r="775" spans="4:12" s="170" customFormat="1" x14ac:dyDescent="0.2">
      <c r="D775" s="173"/>
      <c r="E775" s="173"/>
      <c r="F775" s="173"/>
      <c r="G775" s="173"/>
      <c r="J775" s="174"/>
      <c r="K775" s="173"/>
      <c r="L775" s="173"/>
    </row>
    <row r="776" spans="4:12" s="170" customFormat="1" x14ac:dyDescent="0.2">
      <c r="D776" s="173"/>
      <c r="E776" s="173"/>
      <c r="F776" s="173"/>
      <c r="G776" s="173"/>
      <c r="J776" s="174"/>
      <c r="K776" s="173"/>
      <c r="L776" s="173"/>
    </row>
    <row r="777" spans="4:12" s="170" customFormat="1" x14ac:dyDescent="0.2">
      <c r="D777" s="173"/>
      <c r="E777" s="173"/>
      <c r="F777" s="173"/>
      <c r="G777" s="173"/>
      <c r="J777" s="174"/>
      <c r="K777" s="173"/>
      <c r="L777" s="173"/>
    </row>
    <row r="778" spans="4:12" s="170" customFormat="1" x14ac:dyDescent="0.2">
      <c r="D778" s="173"/>
      <c r="E778" s="173"/>
      <c r="F778" s="173"/>
      <c r="G778" s="173"/>
      <c r="J778" s="174"/>
      <c r="K778" s="173"/>
      <c r="L778" s="173"/>
    </row>
    <row r="779" spans="4:12" s="170" customFormat="1" x14ac:dyDescent="0.2">
      <c r="D779" s="173"/>
      <c r="E779" s="173"/>
      <c r="F779" s="173"/>
      <c r="G779" s="173"/>
      <c r="J779" s="174"/>
      <c r="K779" s="173"/>
      <c r="L779" s="173"/>
    </row>
    <row r="780" spans="4:12" s="170" customFormat="1" x14ac:dyDescent="0.2">
      <c r="D780" s="173"/>
      <c r="E780" s="173"/>
      <c r="F780" s="173"/>
      <c r="G780" s="173"/>
      <c r="J780" s="174"/>
      <c r="K780" s="173"/>
      <c r="L780" s="173"/>
    </row>
    <row r="781" spans="4:12" s="170" customFormat="1" x14ac:dyDescent="0.2">
      <c r="D781" s="173"/>
      <c r="E781" s="173"/>
      <c r="F781" s="173"/>
      <c r="G781" s="173"/>
      <c r="J781" s="174"/>
      <c r="K781" s="173"/>
      <c r="L781" s="173"/>
    </row>
    <row r="782" spans="4:12" s="170" customFormat="1" x14ac:dyDescent="0.2">
      <c r="D782" s="173"/>
      <c r="E782" s="173"/>
      <c r="F782" s="173"/>
      <c r="G782" s="173"/>
      <c r="J782" s="174"/>
      <c r="K782" s="173"/>
      <c r="L782" s="173"/>
    </row>
    <row r="783" spans="4:12" s="170" customFormat="1" x14ac:dyDescent="0.2">
      <c r="D783" s="173"/>
      <c r="E783" s="173"/>
      <c r="F783" s="173"/>
      <c r="G783" s="173"/>
      <c r="J783" s="174"/>
      <c r="K783" s="173"/>
      <c r="L783" s="173"/>
    </row>
    <row r="784" spans="4:12" s="170" customFormat="1" x14ac:dyDescent="0.2">
      <c r="D784" s="173"/>
      <c r="E784" s="173"/>
      <c r="F784" s="173"/>
      <c r="G784" s="173"/>
      <c r="J784" s="174"/>
      <c r="K784" s="173"/>
      <c r="L784" s="173"/>
    </row>
    <row r="785" spans="4:12" s="170" customFormat="1" x14ac:dyDescent="0.2">
      <c r="D785" s="173"/>
      <c r="E785" s="173"/>
      <c r="F785" s="173"/>
      <c r="G785" s="173"/>
      <c r="J785" s="174"/>
      <c r="K785" s="173"/>
      <c r="L785" s="173"/>
    </row>
    <row r="786" spans="4:12" s="170" customFormat="1" x14ac:dyDescent="0.2">
      <c r="D786" s="173"/>
      <c r="E786" s="173"/>
      <c r="F786" s="173"/>
      <c r="G786" s="173"/>
      <c r="J786" s="174"/>
      <c r="K786" s="173"/>
      <c r="L786" s="173"/>
    </row>
    <row r="787" spans="4:12" s="170" customFormat="1" x14ac:dyDescent="0.2">
      <c r="D787" s="173"/>
      <c r="E787" s="173"/>
      <c r="F787" s="173"/>
      <c r="G787" s="173"/>
      <c r="J787" s="174"/>
      <c r="K787" s="173"/>
      <c r="L787" s="173"/>
    </row>
    <row r="788" spans="4:12" s="170" customFormat="1" x14ac:dyDescent="0.2">
      <c r="D788" s="173"/>
      <c r="E788" s="173"/>
      <c r="F788" s="173"/>
      <c r="G788" s="173"/>
      <c r="J788" s="174"/>
      <c r="K788" s="173"/>
      <c r="L788" s="173"/>
    </row>
    <row r="789" spans="4:12" s="170" customFormat="1" x14ac:dyDescent="0.2">
      <c r="D789" s="173"/>
      <c r="E789" s="173"/>
      <c r="F789" s="173"/>
      <c r="G789" s="173"/>
      <c r="J789" s="174"/>
      <c r="K789" s="173"/>
      <c r="L789" s="173"/>
    </row>
    <row r="790" spans="4:12" s="170" customFormat="1" x14ac:dyDescent="0.2">
      <c r="D790" s="173"/>
      <c r="E790" s="173"/>
      <c r="F790" s="173"/>
      <c r="G790" s="173"/>
      <c r="J790" s="174"/>
      <c r="K790" s="173"/>
      <c r="L790" s="173"/>
    </row>
    <row r="791" spans="4:12" s="170" customFormat="1" x14ac:dyDescent="0.2">
      <c r="D791" s="173"/>
      <c r="E791" s="173"/>
      <c r="F791" s="173"/>
      <c r="G791" s="173"/>
      <c r="J791" s="174"/>
      <c r="K791" s="173"/>
      <c r="L791" s="173"/>
    </row>
    <row r="792" spans="4:12" s="170" customFormat="1" x14ac:dyDescent="0.2">
      <c r="D792" s="173"/>
      <c r="E792" s="173"/>
      <c r="F792" s="173"/>
      <c r="G792" s="173"/>
      <c r="J792" s="174"/>
      <c r="K792" s="173"/>
      <c r="L792" s="173"/>
    </row>
    <row r="793" spans="4:12" s="170" customFormat="1" x14ac:dyDescent="0.2">
      <c r="D793" s="173"/>
      <c r="E793" s="173"/>
      <c r="F793" s="173"/>
      <c r="G793" s="173"/>
      <c r="J793" s="174"/>
      <c r="K793" s="173"/>
      <c r="L793" s="173"/>
    </row>
    <row r="794" spans="4:12" s="170" customFormat="1" x14ac:dyDescent="0.2">
      <c r="D794" s="173"/>
      <c r="E794" s="173"/>
      <c r="F794" s="173"/>
      <c r="G794" s="173"/>
      <c r="J794" s="174"/>
      <c r="K794" s="173"/>
      <c r="L794" s="173"/>
    </row>
    <row r="795" spans="4:12" s="170" customFormat="1" x14ac:dyDescent="0.2">
      <c r="D795" s="173"/>
      <c r="E795" s="173"/>
      <c r="F795" s="173"/>
      <c r="G795" s="173"/>
      <c r="J795" s="174"/>
      <c r="K795" s="173"/>
      <c r="L795" s="173"/>
    </row>
    <row r="796" spans="4:12" s="170" customFormat="1" x14ac:dyDescent="0.2">
      <c r="D796" s="173"/>
      <c r="E796" s="173"/>
      <c r="F796" s="173"/>
      <c r="G796" s="173"/>
      <c r="J796" s="174"/>
      <c r="K796" s="173"/>
      <c r="L796" s="173"/>
    </row>
    <row r="797" spans="4:12" s="170" customFormat="1" x14ac:dyDescent="0.2">
      <c r="D797" s="173"/>
      <c r="E797" s="173"/>
      <c r="F797" s="173"/>
      <c r="G797" s="173"/>
      <c r="J797" s="174"/>
      <c r="K797" s="173"/>
      <c r="L797" s="173"/>
    </row>
    <row r="798" spans="4:12" s="170" customFormat="1" x14ac:dyDescent="0.2">
      <c r="D798" s="173"/>
      <c r="E798" s="173"/>
      <c r="F798" s="173"/>
      <c r="G798" s="173"/>
      <c r="J798" s="174"/>
      <c r="K798" s="173"/>
      <c r="L798" s="173"/>
    </row>
    <row r="799" spans="4:12" s="170" customFormat="1" x14ac:dyDescent="0.2">
      <c r="D799" s="173"/>
      <c r="E799" s="173"/>
      <c r="F799" s="173"/>
      <c r="G799" s="173"/>
      <c r="J799" s="174"/>
      <c r="K799" s="173"/>
      <c r="L799" s="173"/>
    </row>
    <row r="800" spans="4:12" s="170" customFormat="1" x14ac:dyDescent="0.2">
      <c r="D800" s="173"/>
      <c r="E800" s="173"/>
      <c r="F800" s="173"/>
      <c r="G800" s="173"/>
      <c r="J800" s="174"/>
      <c r="K800" s="173"/>
      <c r="L800" s="173"/>
    </row>
    <row r="801" spans="4:12" s="170" customFormat="1" x14ac:dyDescent="0.2">
      <c r="D801" s="173"/>
      <c r="E801" s="173"/>
      <c r="F801" s="173"/>
      <c r="G801" s="173"/>
      <c r="J801" s="174"/>
      <c r="K801" s="173"/>
      <c r="L801" s="173"/>
    </row>
    <row r="802" spans="4:12" s="170" customFormat="1" x14ac:dyDescent="0.2">
      <c r="D802" s="173"/>
      <c r="E802" s="173"/>
      <c r="F802" s="173"/>
      <c r="G802" s="173"/>
      <c r="J802" s="174"/>
      <c r="K802" s="173"/>
      <c r="L802" s="173"/>
    </row>
    <row r="803" spans="4:12" s="170" customFormat="1" x14ac:dyDescent="0.2">
      <c r="D803" s="173"/>
      <c r="E803" s="173"/>
      <c r="F803" s="173"/>
      <c r="G803" s="173"/>
      <c r="J803" s="174"/>
      <c r="K803" s="173"/>
      <c r="L803" s="173"/>
    </row>
    <row r="804" spans="4:12" s="170" customFormat="1" x14ac:dyDescent="0.2">
      <c r="D804" s="173"/>
      <c r="E804" s="173"/>
      <c r="F804" s="173"/>
      <c r="G804" s="173"/>
      <c r="J804" s="174"/>
      <c r="K804" s="173"/>
      <c r="L804" s="173"/>
    </row>
    <row r="805" spans="4:12" s="170" customFormat="1" x14ac:dyDescent="0.2">
      <c r="D805" s="173"/>
      <c r="E805" s="173"/>
      <c r="F805" s="173"/>
      <c r="G805" s="173"/>
      <c r="J805" s="174"/>
      <c r="K805" s="173"/>
      <c r="L805" s="173"/>
    </row>
    <row r="806" spans="4:12" s="170" customFormat="1" x14ac:dyDescent="0.2">
      <c r="D806" s="173"/>
      <c r="E806" s="173"/>
      <c r="F806" s="173"/>
      <c r="G806" s="173"/>
      <c r="J806" s="174"/>
      <c r="K806" s="173"/>
      <c r="L806" s="173"/>
    </row>
    <row r="807" spans="4:12" s="170" customFormat="1" x14ac:dyDescent="0.2">
      <c r="D807" s="173"/>
      <c r="E807" s="173"/>
      <c r="F807" s="173"/>
      <c r="G807" s="173"/>
      <c r="J807" s="174"/>
      <c r="K807" s="173"/>
      <c r="L807" s="173"/>
    </row>
    <row r="808" spans="4:12" s="170" customFormat="1" x14ac:dyDescent="0.2">
      <c r="D808" s="173"/>
      <c r="E808" s="173"/>
      <c r="F808" s="173"/>
      <c r="G808" s="173"/>
      <c r="J808" s="174"/>
      <c r="K808" s="173"/>
      <c r="L808" s="173"/>
    </row>
    <row r="809" spans="4:12" s="170" customFormat="1" x14ac:dyDescent="0.2">
      <c r="D809" s="173"/>
      <c r="E809" s="173"/>
      <c r="F809" s="173"/>
      <c r="G809" s="173"/>
      <c r="J809" s="174"/>
      <c r="K809" s="173"/>
      <c r="L809" s="173"/>
    </row>
    <row r="810" spans="4:12" s="170" customFormat="1" x14ac:dyDescent="0.2">
      <c r="D810" s="173"/>
      <c r="E810" s="173"/>
      <c r="F810" s="173"/>
      <c r="G810" s="173"/>
      <c r="J810" s="174"/>
      <c r="K810" s="173"/>
      <c r="L810" s="173"/>
    </row>
    <row r="811" spans="4:12" s="170" customFormat="1" x14ac:dyDescent="0.2">
      <c r="D811" s="173"/>
      <c r="E811" s="173"/>
      <c r="F811" s="173"/>
      <c r="G811" s="173"/>
      <c r="J811" s="174"/>
      <c r="K811" s="173"/>
      <c r="L811" s="173"/>
    </row>
    <row r="812" spans="4:12" s="170" customFormat="1" x14ac:dyDescent="0.2">
      <c r="D812" s="173"/>
      <c r="E812" s="173"/>
      <c r="F812" s="173"/>
      <c r="G812" s="173"/>
      <c r="J812" s="174"/>
      <c r="K812" s="173"/>
      <c r="L812" s="173"/>
    </row>
    <row r="813" spans="4:12" s="170" customFormat="1" x14ac:dyDescent="0.2">
      <c r="D813" s="173"/>
      <c r="E813" s="173"/>
      <c r="F813" s="173"/>
      <c r="G813" s="173"/>
      <c r="J813" s="174"/>
      <c r="K813" s="173"/>
      <c r="L813" s="173"/>
    </row>
    <row r="814" spans="4:12" s="170" customFormat="1" x14ac:dyDescent="0.2">
      <c r="D814" s="173"/>
      <c r="E814" s="173"/>
      <c r="F814" s="173"/>
      <c r="G814" s="173"/>
      <c r="J814" s="174"/>
      <c r="K814" s="173"/>
      <c r="L814" s="173"/>
    </row>
    <row r="815" spans="4:12" s="170" customFormat="1" x14ac:dyDescent="0.2">
      <c r="D815" s="173"/>
      <c r="E815" s="173"/>
      <c r="F815" s="173"/>
      <c r="G815" s="173"/>
      <c r="J815" s="174"/>
      <c r="K815" s="173"/>
      <c r="L815" s="173"/>
    </row>
    <row r="816" spans="4:12" s="170" customFormat="1" x14ac:dyDescent="0.2">
      <c r="D816" s="173"/>
      <c r="E816" s="173"/>
      <c r="F816" s="173"/>
      <c r="G816" s="173"/>
      <c r="J816" s="174"/>
      <c r="K816" s="173"/>
      <c r="L816" s="173"/>
    </row>
    <row r="817" spans="4:12" s="170" customFormat="1" x14ac:dyDescent="0.2">
      <c r="D817" s="173"/>
      <c r="E817" s="173"/>
      <c r="F817" s="173"/>
      <c r="G817" s="173"/>
      <c r="J817" s="174"/>
      <c r="K817" s="173"/>
      <c r="L817" s="173"/>
    </row>
    <row r="818" spans="4:12" s="170" customFormat="1" x14ac:dyDescent="0.2">
      <c r="D818" s="173"/>
      <c r="E818" s="173"/>
      <c r="F818" s="173"/>
      <c r="G818" s="173"/>
      <c r="J818" s="174"/>
      <c r="K818" s="173"/>
      <c r="L818" s="173"/>
    </row>
    <row r="819" spans="4:12" s="170" customFormat="1" x14ac:dyDescent="0.2">
      <c r="D819" s="173"/>
      <c r="E819" s="173"/>
      <c r="F819" s="173"/>
      <c r="G819" s="173"/>
      <c r="J819" s="174"/>
      <c r="K819" s="173"/>
      <c r="L819" s="173"/>
    </row>
    <row r="820" spans="4:12" s="170" customFormat="1" x14ac:dyDescent="0.2">
      <c r="D820" s="173"/>
      <c r="E820" s="173"/>
      <c r="F820" s="173"/>
      <c r="G820" s="173"/>
      <c r="J820" s="174"/>
      <c r="K820" s="173"/>
      <c r="L820" s="173"/>
    </row>
    <row r="821" spans="4:12" s="170" customFormat="1" x14ac:dyDescent="0.2">
      <c r="D821" s="173"/>
      <c r="E821" s="173"/>
      <c r="F821" s="173"/>
      <c r="G821" s="173"/>
      <c r="J821" s="174"/>
      <c r="K821" s="173"/>
      <c r="L821" s="173"/>
    </row>
    <row r="822" spans="4:12" s="170" customFormat="1" x14ac:dyDescent="0.2">
      <c r="D822" s="173"/>
      <c r="E822" s="173"/>
      <c r="F822" s="173"/>
      <c r="G822" s="173"/>
      <c r="J822" s="174"/>
      <c r="K822" s="173"/>
      <c r="L822" s="173"/>
    </row>
    <row r="823" spans="4:12" s="170" customFormat="1" x14ac:dyDescent="0.2">
      <c r="D823" s="173"/>
      <c r="E823" s="173"/>
      <c r="F823" s="173"/>
      <c r="G823" s="173"/>
      <c r="J823" s="174"/>
      <c r="K823" s="173"/>
      <c r="L823" s="173"/>
    </row>
    <row r="824" spans="4:12" s="170" customFormat="1" x14ac:dyDescent="0.2">
      <c r="D824" s="173"/>
      <c r="E824" s="173"/>
      <c r="F824" s="173"/>
      <c r="G824" s="173"/>
      <c r="J824" s="174"/>
      <c r="K824" s="173"/>
      <c r="L824" s="173"/>
    </row>
    <row r="825" spans="4:12" s="170" customFormat="1" x14ac:dyDescent="0.2">
      <c r="D825" s="173"/>
      <c r="E825" s="173"/>
      <c r="F825" s="173"/>
      <c r="G825" s="173"/>
      <c r="J825" s="174"/>
      <c r="K825" s="173"/>
      <c r="L825" s="173"/>
    </row>
    <row r="826" spans="4:12" s="170" customFormat="1" x14ac:dyDescent="0.2">
      <c r="D826" s="173"/>
      <c r="E826" s="173"/>
      <c r="F826" s="173"/>
      <c r="G826" s="173"/>
      <c r="J826" s="174"/>
      <c r="K826" s="173"/>
      <c r="L826" s="173"/>
    </row>
    <row r="827" spans="4:12" s="170" customFormat="1" x14ac:dyDescent="0.2">
      <c r="D827" s="173"/>
      <c r="E827" s="173"/>
      <c r="F827" s="173"/>
      <c r="G827" s="173"/>
      <c r="J827" s="174"/>
      <c r="K827" s="173"/>
      <c r="L827" s="173"/>
    </row>
    <row r="828" spans="4:12" s="170" customFormat="1" x14ac:dyDescent="0.2">
      <c r="D828" s="173"/>
      <c r="E828" s="173"/>
      <c r="F828" s="173"/>
      <c r="G828" s="173"/>
      <c r="J828" s="174"/>
      <c r="K828" s="173"/>
      <c r="L828" s="173"/>
    </row>
    <row r="829" spans="4:12" s="170" customFormat="1" x14ac:dyDescent="0.2">
      <c r="D829" s="173"/>
      <c r="E829" s="173"/>
      <c r="F829" s="173"/>
      <c r="G829" s="173"/>
      <c r="J829" s="174"/>
      <c r="K829" s="173"/>
      <c r="L829" s="173"/>
    </row>
    <row r="830" spans="4:12" s="170" customFormat="1" x14ac:dyDescent="0.2">
      <c r="D830" s="173"/>
      <c r="E830" s="173"/>
      <c r="F830" s="173"/>
      <c r="G830" s="173"/>
      <c r="J830" s="174"/>
      <c r="K830" s="173"/>
      <c r="L830" s="173"/>
    </row>
    <row r="831" spans="4:12" s="170" customFormat="1" x14ac:dyDescent="0.2">
      <c r="D831" s="173"/>
      <c r="E831" s="173"/>
      <c r="F831" s="173"/>
      <c r="G831" s="173"/>
      <c r="J831" s="174"/>
      <c r="K831" s="173"/>
      <c r="L831" s="173"/>
    </row>
    <row r="832" spans="4:12" s="170" customFormat="1" x14ac:dyDescent="0.2">
      <c r="D832" s="173"/>
      <c r="E832" s="173"/>
      <c r="F832" s="173"/>
      <c r="G832" s="173"/>
      <c r="J832" s="174"/>
      <c r="K832" s="173"/>
      <c r="L832" s="173"/>
    </row>
    <row r="833" spans="4:12" s="170" customFormat="1" x14ac:dyDescent="0.2">
      <c r="D833" s="173"/>
      <c r="E833" s="173"/>
      <c r="F833" s="173"/>
      <c r="G833" s="173"/>
      <c r="J833" s="174"/>
      <c r="K833" s="173"/>
      <c r="L833" s="173"/>
    </row>
    <row r="834" spans="4:12" s="170" customFormat="1" x14ac:dyDescent="0.2">
      <c r="D834" s="173"/>
      <c r="E834" s="173"/>
      <c r="F834" s="173"/>
      <c r="G834" s="173"/>
      <c r="J834" s="174"/>
      <c r="K834" s="173"/>
      <c r="L834" s="173"/>
    </row>
    <row r="835" spans="4:12" s="170" customFormat="1" x14ac:dyDescent="0.2">
      <c r="D835" s="173"/>
      <c r="E835" s="173"/>
      <c r="F835" s="173"/>
      <c r="G835" s="173"/>
      <c r="J835" s="174"/>
      <c r="K835" s="173"/>
      <c r="L835" s="173"/>
    </row>
    <row r="836" spans="4:12" s="170" customFormat="1" x14ac:dyDescent="0.2">
      <c r="D836" s="173"/>
      <c r="E836" s="173"/>
      <c r="F836" s="173"/>
      <c r="G836" s="173"/>
      <c r="J836" s="174"/>
      <c r="K836" s="173"/>
      <c r="L836" s="173"/>
    </row>
    <row r="837" spans="4:12" s="170" customFormat="1" x14ac:dyDescent="0.2">
      <c r="D837" s="173"/>
      <c r="E837" s="173"/>
      <c r="F837" s="173"/>
      <c r="G837" s="173"/>
      <c r="J837" s="174"/>
      <c r="K837" s="173"/>
      <c r="L837" s="173"/>
    </row>
    <row r="838" spans="4:12" s="170" customFormat="1" x14ac:dyDescent="0.2">
      <c r="D838" s="173"/>
      <c r="E838" s="173"/>
      <c r="F838" s="173"/>
      <c r="G838" s="173"/>
      <c r="J838" s="174"/>
      <c r="K838" s="173"/>
      <c r="L838" s="173"/>
    </row>
    <row r="839" spans="4:12" s="170" customFormat="1" x14ac:dyDescent="0.2">
      <c r="D839" s="173"/>
      <c r="E839" s="173"/>
      <c r="F839" s="173"/>
      <c r="G839" s="173"/>
      <c r="J839" s="174"/>
      <c r="K839" s="173"/>
      <c r="L839" s="173"/>
    </row>
    <row r="840" spans="4:12" s="170" customFormat="1" x14ac:dyDescent="0.2">
      <c r="D840" s="173"/>
      <c r="E840" s="173"/>
      <c r="F840" s="173"/>
      <c r="G840" s="173"/>
      <c r="J840" s="174"/>
      <c r="K840" s="173"/>
      <c r="L840" s="173"/>
    </row>
    <row r="841" spans="4:12" s="170" customFormat="1" x14ac:dyDescent="0.2">
      <c r="D841" s="173"/>
      <c r="E841" s="173"/>
      <c r="F841" s="173"/>
      <c r="G841" s="173"/>
      <c r="J841" s="174"/>
      <c r="K841" s="173"/>
      <c r="L841" s="173"/>
    </row>
    <row r="842" spans="4:12" s="170" customFormat="1" x14ac:dyDescent="0.2">
      <c r="D842" s="173"/>
      <c r="E842" s="173"/>
      <c r="F842" s="173"/>
      <c r="G842" s="173"/>
      <c r="J842" s="174"/>
      <c r="K842" s="173"/>
      <c r="L842" s="173"/>
    </row>
    <row r="843" spans="4:12" s="170" customFormat="1" x14ac:dyDescent="0.2">
      <c r="D843" s="173"/>
      <c r="E843" s="173"/>
      <c r="F843" s="173"/>
      <c r="G843" s="173"/>
      <c r="J843" s="174"/>
      <c r="K843" s="173"/>
      <c r="L843" s="173"/>
    </row>
    <row r="844" spans="4:12" s="170" customFormat="1" x14ac:dyDescent="0.2">
      <c r="D844" s="173"/>
      <c r="E844" s="173"/>
      <c r="F844" s="173"/>
      <c r="G844" s="173"/>
      <c r="J844" s="174"/>
      <c r="K844" s="173"/>
      <c r="L844" s="173"/>
    </row>
    <row r="845" spans="4:12" s="170" customFormat="1" x14ac:dyDescent="0.2">
      <c r="D845" s="173"/>
      <c r="E845" s="173"/>
      <c r="F845" s="173"/>
      <c r="G845" s="173"/>
      <c r="J845" s="174"/>
      <c r="K845" s="173"/>
      <c r="L845" s="173"/>
    </row>
    <row r="846" spans="4:12" s="170" customFormat="1" x14ac:dyDescent="0.2">
      <c r="D846" s="173"/>
      <c r="E846" s="173"/>
      <c r="F846" s="173"/>
      <c r="G846" s="173"/>
      <c r="J846" s="174"/>
      <c r="K846" s="173"/>
      <c r="L846" s="173"/>
    </row>
    <row r="847" spans="4:12" s="170" customFormat="1" x14ac:dyDescent="0.2">
      <c r="D847" s="173"/>
      <c r="E847" s="173"/>
      <c r="F847" s="173"/>
      <c r="G847" s="173"/>
      <c r="J847" s="174"/>
      <c r="K847" s="173"/>
      <c r="L847" s="173"/>
    </row>
    <row r="848" spans="4:12" s="170" customFormat="1" x14ac:dyDescent="0.2">
      <c r="D848" s="173"/>
      <c r="E848" s="173"/>
      <c r="F848" s="173"/>
      <c r="G848" s="173"/>
      <c r="J848" s="174"/>
      <c r="K848" s="173"/>
      <c r="L848" s="173"/>
    </row>
    <row r="849" spans="4:12" s="170" customFormat="1" x14ac:dyDescent="0.2">
      <c r="D849" s="173"/>
      <c r="E849" s="173"/>
      <c r="F849" s="173"/>
      <c r="G849" s="173"/>
      <c r="J849" s="174"/>
      <c r="K849" s="173"/>
      <c r="L849" s="173"/>
    </row>
    <row r="850" spans="4:12" s="170" customFormat="1" x14ac:dyDescent="0.2">
      <c r="D850" s="173"/>
      <c r="E850" s="173"/>
      <c r="F850" s="173"/>
      <c r="G850" s="173"/>
      <c r="J850" s="174"/>
      <c r="K850" s="173"/>
      <c r="L850" s="173"/>
    </row>
    <row r="851" spans="4:12" s="170" customFormat="1" x14ac:dyDescent="0.2">
      <c r="D851" s="173"/>
      <c r="E851" s="173"/>
      <c r="F851" s="173"/>
      <c r="G851" s="173"/>
      <c r="J851" s="174"/>
      <c r="K851" s="173"/>
      <c r="L851" s="173"/>
    </row>
    <row r="852" spans="4:12" s="170" customFormat="1" x14ac:dyDescent="0.2">
      <c r="D852" s="173"/>
      <c r="E852" s="173"/>
      <c r="F852" s="173"/>
      <c r="G852" s="173"/>
      <c r="J852" s="174"/>
      <c r="K852" s="173"/>
      <c r="L852" s="173"/>
    </row>
    <row r="853" spans="4:12" s="170" customFormat="1" x14ac:dyDescent="0.2">
      <c r="D853" s="173"/>
      <c r="E853" s="173"/>
      <c r="F853" s="173"/>
      <c r="G853" s="173"/>
      <c r="J853" s="174"/>
      <c r="K853" s="173"/>
      <c r="L853" s="173"/>
    </row>
    <row r="854" spans="4:12" s="170" customFormat="1" x14ac:dyDescent="0.2">
      <c r="D854" s="173"/>
      <c r="E854" s="173"/>
      <c r="F854" s="173"/>
      <c r="G854" s="173"/>
      <c r="J854" s="174"/>
      <c r="K854" s="173"/>
      <c r="L854" s="173"/>
    </row>
    <row r="855" spans="4:12" s="170" customFormat="1" x14ac:dyDescent="0.2">
      <c r="D855" s="173"/>
      <c r="E855" s="173"/>
      <c r="F855" s="173"/>
      <c r="G855" s="173"/>
      <c r="J855" s="174"/>
      <c r="K855" s="173"/>
      <c r="L855" s="173"/>
    </row>
    <row r="856" spans="4:12" s="170" customFormat="1" x14ac:dyDescent="0.2">
      <c r="D856" s="173"/>
      <c r="E856" s="173"/>
      <c r="F856" s="173"/>
      <c r="G856" s="173"/>
      <c r="J856" s="174"/>
      <c r="K856" s="173"/>
      <c r="L856" s="173"/>
    </row>
    <row r="857" spans="4:12" s="170" customFormat="1" x14ac:dyDescent="0.2">
      <c r="D857" s="173"/>
      <c r="E857" s="173"/>
      <c r="F857" s="173"/>
      <c r="G857" s="173"/>
      <c r="J857" s="174"/>
      <c r="K857" s="173"/>
      <c r="L857" s="173"/>
    </row>
    <row r="858" spans="4:12" s="170" customFormat="1" x14ac:dyDescent="0.2">
      <c r="D858" s="173"/>
      <c r="E858" s="173"/>
      <c r="F858" s="173"/>
      <c r="G858" s="173"/>
      <c r="J858" s="174"/>
      <c r="K858" s="173"/>
      <c r="L858" s="173"/>
    </row>
    <row r="859" spans="4:12" s="170" customFormat="1" x14ac:dyDescent="0.2">
      <c r="D859" s="173"/>
      <c r="E859" s="173"/>
      <c r="F859" s="173"/>
      <c r="G859" s="173"/>
      <c r="J859" s="174"/>
      <c r="K859" s="173"/>
      <c r="L859" s="173"/>
    </row>
    <row r="860" spans="4:12" s="170" customFormat="1" x14ac:dyDescent="0.2">
      <c r="D860" s="173"/>
      <c r="E860" s="173"/>
      <c r="F860" s="173"/>
      <c r="G860" s="173"/>
      <c r="J860" s="174"/>
      <c r="K860" s="173"/>
      <c r="L860" s="173"/>
    </row>
    <row r="861" spans="4:12" s="170" customFormat="1" x14ac:dyDescent="0.2">
      <c r="D861" s="173"/>
      <c r="E861" s="173"/>
      <c r="F861" s="173"/>
      <c r="G861" s="173"/>
      <c r="J861" s="174"/>
      <c r="K861" s="173"/>
      <c r="L861" s="173"/>
    </row>
    <row r="862" spans="4:12" s="170" customFormat="1" x14ac:dyDescent="0.2">
      <c r="D862" s="173"/>
      <c r="E862" s="173"/>
      <c r="F862" s="173"/>
      <c r="G862" s="173"/>
      <c r="J862" s="174"/>
      <c r="K862" s="173"/>
      <c r="L862" s="173"/>
    </row>
    <row r="863" spans="4:12" s="170" customFormat="1" x14ac:dyDescent="0.2">
      <c r="D863" s="173"/>
      <c r="E863" s="173"/>
      <c r="F863" s="173"/>
      <c r="G863" s="173"/>
      <c r="J863" s="174"/>
      <c r="K863" s="173"/>
      <c r="L863" s="173"/>
    </row>
    <row r="864" spans="4:12" s="170" customFormat="1" x14ac:dyDescent="0.2">
      <c r="D864" s="173"/>
      <c r="E864" s="173"/>
      <c r="F864" s="173"/>
      <c r="G864" s="173"/>
      <c r="J864" s="174"/>
      <c r="K864" s="173"/>
      <c r="L864" s="173"/>
    </row>
    <row r="865" spans="4:12" s="170" customFormat="1" x14ac:dyDescent="0.2">
      <c r="D865" s="173"/>
      <c r="E865" s="173"/>
      <c r="F865" s="173"/>
      <c r="G865" s="173"/>
      <c r="J865" s="174"/>
      <c r="K865" s="173"/>
      <c r="L865" s="173"/>
    </row>
    <row r="866" spans="4:12" s="170" customFormat="1" x14ac:dyDescent="0.2">
      <c r="D866" s="173"/>
      <c r="E866" s="173"/>
      <c r="F866" s="173"/>
      <c r="G866" s="173"/>
      <c r="J866" s="174"/>
      <c r="K866" s="173"/>
      <c r="L866" s="173"/>
    </row>
    <row r="867" spans="4:12" s="170" customFormat="1" x14ac:dyDescent="0.2">
      <c r="D867" s="173"/>
      <c r="E867" s="173"/>
      <c r="F867" s="173"/>
      <c r="G867" s="173"/>
      <c r="J867" s="174"/>
      <c r="K867" s="173"/>
      <c r="L867" s="173"/>
    </row>
    <row r="868" spans="4:12" s="170" customFormat="1" x14ac:dyDescent="0.2">
      <c r="D868" s="173"/>
      <c r="E868" s="173"/>
      <c r="F868" s="173"/>
      <c r="G868" s="173"/>
      <c r="J868" s="174"/>
      <c r="K868" s="173"/>
      <c r="L868" s="173"/>
    </row>
    <row r="869" spans="4:12" s="170" customFormat="1" x14ac:dyDescent="0.2">
      <c r="D869" s="173"/>
      <c r="E869" s="173"/>
      <c r="F869" s="173"/>
      <c r="G869" s="173"/>
      <c r="J869" s="174"/>
      <c r="K869" s="173"/>
      <c r="L869" s="173"/>
    </row>
    <row r="870" spans="4:12" s="170" customFormat="1" x14ac:dyDescent="0.2">
      <c r="D870" s="173"/>
      <c r="E870" s="173"/>
      <c r="F870" s="173"/>
      <c r="G870" s="173"/>
      <c r="J870" s="174"/>
      <c r="K870" s="173"/>
      <c r="L870" s="173"/>
    </row>
    <row r="871" spans="4:12" s="170" customFormat="1" x14ac:dyDescent="0.2">
      <c r="D871" s="173"/>
      <c r="E871" s="173"/>
      <c r="F871" s="173"/>
      <c r="G871" s="173"/>
      <c r="J871" s="174"/>
      <c r="K871" s="173"/>
      <c r="L871" s="173"/>
    </row>
    <row r="872" spans="4:12" s="170" customFormat="1" x14ac:dyDescent="0.2">
      <c r="D872" s="173"/>
      <c r="E872" s="173"/>
      <c r="F872" s="173"/>
      <c r="G872" s="173"/>
      <c r="J872" s="174"/>
      <c r="K872" s="173"/>
      <c r="L872" s="173"/>
    </row>
    <row r="873" spans="4:12" s="170" customFormat="1" x14ac:dyDescent="0.2">
      <c r="D873" s="173"/>
      <c r="E873" s="173"/>
      <c r="F873" s="173"/>
      <c r="G873" s="173"/>
      <c r="J873" s="174"/>
      <c r="K873" s="173"/>
      <c r="L873" s="173"/>
    </row>
    <row r="874" spans="4:12" s="170" customFormat="1" x14ac:dyDescent="0.2">
      <c r="D874" s="173"/>
      <c r="E874" s="173"/>
      <c r="F874" s="173"/>
      <c r="G874" s="173"/>
      <c r="J874" s="174"/>
      <c r="K874" s="173"/>
      <c r="L874" s="173"/>
    </row>
    <row r="875" spans="4:12" s="170" customFormat="1" x14ac:dyDescent="0.2">
      <c r="D875" s="173"/>
      <c r="E875" s="173"/>
      <c r="F875" s="173"/>
      <c r="G875" s="173"/>
      <c r="J875" s="174"/>
      <c r="K875" s="173"/>
      <c r="L875" s="173"/>
    </row>
    <row r="876" spans="4:12" s="170" customFormat="1" x14ac:dyDescent="0.2">
      <c r="D876" s="173"/>
      <c r="E876" s="173"/>
      <c r="F876" s="173"/>
      <c r="G876" s="173"/>
      <c r="J876" s="174"/>
      <c r="K876" s="173"/>
      <c r="L876" s="173"/>
    </row>
    <row r="877" spans="4:12" s="170" customFormat="1" x14ac:dyDescent="0.2">
      <c r="D877" s="173"/>
      <c r="E877" s="173"/>
      <c r="F877" s="173"/>
      <c r="G877" s="173"/>
      <c r="J877" s="174"/>
      <c r="K877" s="173"/>
      <c r="L877" s="173"/>
    </row>
    <row r="878" spans="4:12" s="170" customFormat="1" x14ac:dyDescent="0.2">
      <c r="D878" s="173"/>
      <c r="E878" s="173"/>
      <c r="F878" s="173"/>
      <c r="G878" s="173"/>
      <c r="J878" s="174"/>
      <c r="K878" s="173"/>
      <c r="L878" s="173"/>
    </row>
    <row r="879" spans="4:12" s="170" customFormat="1" x14ac:dyDescent="0.2">
      <c r="D879" s="173"/>
      <c r="E879" s="173"/>
      <c r="F879" s="173"/>
      <c r="G879" s="173"/>
      <c r="J879" s="174"/>
      <c r="K879" s="173"/>
      <c r="L879" s="173"/>
    </row>
    <row r="880" spans="4:12" s="170" customFormat="1" x14ac:dyDescent="0.2">
      <c r="D880" s="173"/>
      <c r="E880" s="173"/>
      <c r="F880" s="173"/>
      <c r="G880" s="173"/>
      <c r="J880" s="174"/>
      <c r="K880" s="173"/>
      <c r="L880" s="173"/>
    </row>
    <row r="881" spans="4:12" s="170" customFormat="1" x14ac:dyDescent="0.2">
      <c r="D881" s="173"/>
      <c r="E881" s="173"/>
      <c r="F881" s="173"/>
      <c r="G881" s="173"/>
      <c r="J881" s="174"/>
      <c r="K881" s="173"/>
      <c r="L881" s="173"/>
    </row>
    <row r="882" spans="4:12" s="170" customFormat="1" x14ac:dyDescent="0.2">
      <c r="D882" s="173"/>
      <c r="E882" s="173"/>
      <c r="F882" s="173"/>
      <c r="G882" s="173"/>
      <c r="J882" s="174"/>
      <c r="K882" s="173"/>
      <c r="L882" s="173"/>
    </row>
    <row r="883" spans="4:12" s="170" customFormat="1" x14ac:dyDescent="0.2">
      <c r="D883" s="173"/>
      <c r="E883" s="173"/>
      <c r="F883" s="173"/>
      <c r="G883" s="173"/>
      <c r="J883" s="174"/>
      <c r="K883" s="173"/>
      <c r="L883" s="173"/>
    </row>
    <row r="884" spans="4:12" s="170" customFormat="1" x14ac:dyDescent="0.2">
      <c r="D884" s="173"/>
      <c r="E884" s="173"/>
      <c r="F884" s="173"/>
      <c r="G884" s="173"/>
      <c r="J884" s="174"/>
      <c r="K884" s="173"/>
      <c r="L884" s="173"/>
    </row>
    <row r="885" spans="4:12" s="170" customFormat="1" x14ac:dyDescent="0.2">
      <c r="D885" s="173"/>
      <c r="E885" s="173"/>
      <c r="F885" s="173"/>
      <c r="G885" s="173"/>
      <c r="J885" s="174"/>
      <c r="K885" s="173"/>
      <c r="L885" s="173"/>
    </row>
    <row r="886" spans="4:12" s="170" customFormat="1" x14ac:dyDescent="0.2">
      <c r="D886" s="173"/>
      <c r="E886" s="173"/>
      <c r="F886" s="173"/>
      <c r="G886" s="173"/>
      <c r="J886" s="174"/>
      <c r="K886" s="173"/>
      <c r="L886" s="173"/>
    </row>
    <row r="887" spans="4:12" s="170" customFormat="1" x14ac:dyDescent="0.2">
      <c r="D887" s="173"/>
      <c r="E887" s="173"/>
      <c r="F887" s="173"/>
      <c r="G887" s="173"/>
      <c r="J887" s="174"/>
      <c r="K887" s="173"/>
      <c r="L887" s="173"/>
    </row>
    <row r="888" spans="4:12" s="170" customFormat="1" x14ac:dyDescent="0.2">
      <c r="D888" s="173"/>
      <c r="E888" s="173"/>
      <c r="F888" s="173"/>
      <c r="G888" s="173"/>
      <c r="J888" s="174"/>
      <c r="K888" s="173"/>
      <c r="L888" s="173"/>
    </row>
    <row r="889" spans="4:12" s="170" customFormat="1" x14ac:dyDescent="0.2">
      <c r="D889" s="173"/>
      <c r="E889" s="173"/>
      <c r="F889" s="173"/>
      <c r="G889" s="173"/>
      <c r="J889" s="174"/>
      <c r="K889" s="173"/>
      <c r="L889" s="173"/>
    </row>
    <row r="890" spans="4:12" s="170" customFormat="1" x14ac:dyDescent="0.2">
      <c r="D890" s="173"/>
      <c r="E890" s="173"/>
      <c r="F890" s="173"/>
      <c r="G890" s="173"/>
      <c r="J890" s="174"/>
      <c r="K890" s="173"/>
      <c r="L890" s="173"/>
    </row>
    <row r="891" spans="4:12" s="170" customFormat="1" x14ac:dyDescent="0.2">
      <c r="D891" s="173"/>
      <c r="E891" s="173"/>
      <c r="F891" s="173"/>
      <c r="G891" s="173"/>
      <c r="J891" s="174"/>
      <c r="K891" s="173"/>
      <c r="L891" s="173"/>
    </row>
    <row r="892" spans="4:12" s="170" customFormat="1" x14ac:dyDescent="0.2">
      <c r="D892" s="173"/>
      <c r="E892" s="173"/>
      <c r="F892" s="173"/>
      <c r="G892" s="173"/>
      <c r="J892" s="174"/>
      <c r="K892" s="173"/>
      <c r="L892" s="173"/>
    </row>
    <row r="893" spans="4:12" s="170" customFormat="1" x14ac:dyDescent="0.2">
      <c r="D893" s="173"/>
      <c r="E893" s="173"/>
      <c r="F893" s="173"/>
      <c r="G893" s="173"/>
      <c r="J893" s="174"/>
      <c r="K893" s="173"/>
      <c r="L893" s="173"/>
    </row>
    <row r="894" spans="4:12" s="170" customFormat="1" x14ac:dyDescent="0.2">
      <c r="D894" s="173"/>
      <c r="E894" s="173"/>
      <c r="F894" s="173"/>
      <c r="G894" s="173"/>
      <c r="J894" s="174"/>
      <c r="K894" s="173"/>
      <c r="L894" s="173"/>
    </row>
    <row r="895" spans="4:12" s="170" customFormat="1" x14ac:dyDescent="0.2">
      <c r="D895" s="173"/>
      <c r="E895" s="173"/>
      <c r="F895" s="173"/>
      <c r="G895" s="173"/>
      <c r="J895" s="174"/>
      <c r="K895" s="173"/>
      <c r="L895" s="173"/>
    </row>
    <row r="896" spans="4:12" s="170" customFormat="1" x14ac:dyDescent="0.2">
      <c r="D896" s="173"/>
      <c r="E896" s="173"/>
      <c r="F896" s="173"/>
      <c r="G896" s="173"/>
      <c r="J896" s="174"/>
      <c r="K896" s="173"/>
      <c r="L896" s="173"/>
    </row>
    <row r="897" spans="4:12" s="170" customFormat="1" x14ac:dyDescent="0.2">
      <c r="D897" s="173"/>
      <c r="E897" s="173"/>
      <c r="F897" s="173"/>
      <c r="G897" s="173"/>
      <c r="J897" s="174"/>
      <c r="K897" s="173"/>
      <c r="L897" s="173"/>
    </row>
    <row r="898" spans="4:12" s="170" customFormat="1" x14ac:dyDescent="0.2">
      <c r="D898" s="173"/>
      <c r="E898" s="173"/>
      <c r="F898" s="173"/>
      <c r="G898" s="173"/>
      <c r="J898" s="174"/>
      <c r="K898" s="173"/>
      <c r="L898" s="173"/>
    </row>
    <row r="899" spans="4:12" s="170" customFormat="1" x14ac:dyDescent="0.2">
      <c r="D899" s="173"/>
      <c r="E899" s="173"/>
      <c r="F899" s="173"/>
      <c r="G899" s="173"/>
      <c r="J899" s="174"/>
      <c r="K899" s="173"/>
      <c r="L899" s="173"/>
    </row>
    <row r="900" spans="4:12" s="170" customFormat="1" x14ac:dyDescent="0.2">
      <c r="D900" s="173"/>
      <c r="E900" s="173"/>
      <c r="F900" s="173"/>
      <c r="G900" s="173"/>
      <c r="J900" s="174"/>
      <c r="K900" s="173"/>
      <c r="L900" s="173"/>
    </row>
    <row r="901" spans="4:12" s="170" customFormat="1" x14ac:dyDescent="0.2">
      <c r="D901" s="173"/>
      <c r="E901" s="173"/>
      <c r="F901" s="173"/>
      <c r="G901" s="173"/>
      <c r="J901" s="174"/>
      <c r="K901" s="173"/>
      <c r="L901" s="173"/>
    </row>
    <row r="902" spans="4:12" s="170" customFormat="1" x14ac:dyDescent="0.2">
      <c r="D902" s="173"/>
      <c r="E902" s="173"/>
      <c r="F902" s="173"/>
      <c r="G902" s="173"/>
      <c r="J902" s="174"/>
      <c r="K902" s="173"/>
      <c r="L902" s="173"/>
    </row>
    <row r="903" spans="4:12" s="170" customFormat="1" x14ac:dyDescent="0.2">
      <c r="D903" s="173"/>
      <c r="E903" s="173"/>
      <c r="F903" s="173"/>
      <c r="G903" s="173"/>
      <c r="J903" s="174"/>
      <c r="K903" s="173"/>
      <c r="L903" s="173"/>
    </row>
    <row r="904" spans="4:12" s="170" customFormat="1" x14ac:dyDescent="0.2">
      <c r="D904" s="173"/>
      <c r="E904" s="173"/>
      <c r="F904" s="173"/>
      <c r="G904" s="173"/>
      <c r="J904" s="174"/>
      <c r="K904" s="173"/>
      <c r="L904" s="173"/>
    </row>
    <row r="905" spans="4:12" s="170" customFormat="1" x14ac:dyDescent="0.2">
      <c r="D905" s="173"/>
      <c r="E905" s="173"/>
      <c r="F905" s="173"/>
      <c r="G905" s="173"/>
      <c r="J905" s="174"/>
      <c r="K905" s="173"/>
      <c r="L905" s="173"/>
    </row>
    <row r="906" spans="4:12" s="170" customFormat="1" x14ac:dyDescent="0.2">
      <c r="D906" s="173"/>
      <c r="E906" s="173"/>
      <c r="F906" s="173"/>
      <c r="G906" s="173"/>
      <c r="J906" s="174"/>
      <c r="K906" s="173"/>
      <c r="L906" s="173"/>
    </row>
    <row r="907" spans="4:12" s="170" customFormat="1" x14ac:dyDescent="0.2">
      <c r="D907" s="173"/>
      <c r="E907" s="173"/>
      <c r="F907" s="173"/>
      <c r="G907" s="173"/>
      <c r="J907" s="174"/>
      <c r="K907" s="173"/>
      <c r="L907" s="173"/>
    </row>
    <row r="908" spans="4:12" s="170" customFormat="1" x14ac:dyDescent="0.2">
      <c r="D908" s="173"/>
      <c r="E908" s="173"/>
      <c r="F908" s="173"/>
      <c r="G908" s="173"/>
      <c r="J908" s="174"/>
      <c r="K908" s="173"/>
      <c r="L908" s="173"/>
    </row>
    <row r="909" spans="4:12" s="170" customFormat="1" x14ac:dyDescent="0.2">
      <c r="D909" s="173"/>
      <c r="E909" s="173"/>
      <c r="F909" s="173"/>
      <c r="G909" s="173"/>
      <c r="J909" s="174"/>
      <c r="K909" s="173"/>
      <c r="L909" s="173"/>
    </row>
    <row r="910" spans="4:12" s="170" customFormat="1" x14ac:dyDescent="0.2">
      <c r="D910" s="173"/>
      <c r="E910" s="173"/>
      <c r="F910" s="173"/>
      <c r="G910" s="173"/>
      <c r="J910" s="174"/>
      <c r="K910" s="173"/>
      <c r="L910" s="173"/>
    </row>
    <row r="911" spans="4:12" s="170" customFormat="1" x14ac:dyDescent="0.2">
      <c r="D911" s="173"/>
      <c r="E911" s="173"/>
      <c r="F911" s="173"/>
      <c r="G911" s="173"/>
      <c r="J911" s="174"/>
      <c r="K911" s="173"/>
      <c r="L911" s="173"/>
    </row>
    <row r="912" spans="4:12" s="170" customFormat="1" x14ac:dyDescent="0.2">
      <c r="D912" s="173"/>
      <c r="E912" s="173"/>
      <c r="F912" s="173"/>
      <c r="G912" s="173"/>
      <c r="J912" s="174"/>
      <c r="K912" s="173"/>
      <c r="L912" s="173"/>
    </row>
    <row r="913" spans="4:12" s="170" customFormat="1" x14ac:dyDescent="0.2">
      <c r="D913" s="173"/>
      <c r="E913" s="173"/>
      <c r="F913" s="173"/>
      <c r="G913" s="173"/>
      <c r="J913" s="174"/>
      <c r="K913" s="173"/>
      <c r="L913" s="173"/>
    </row>
    <row r="914" spans="4:12" s="170" customFormat="1" x14ac:dyDescent="0.2">
      <c r="D914" s="173"/>
      <c r="E914" s="173"/>
      <c r="F914" s="173"/>
      <c r="G914" s="173"/>
      <c r="J914" s="174"/>
      <c r="K914" s="173"/>
      <c r="L914" s="173"/>
    </row>
    <row r="915" spans="4:12" s="170" customFormat="1" x14ac:dyDescent="0.2">
      <c r="D915" s="173"/>
      <c r="E915" s="173"/>
      <c r="F915" s="173"/>
      <c r="G915" s="173"/>
      <c r="J915" s="174"/>
      <c r="K915" s="173"/>
      <c r="L915" s="173"/>
    </row>
    <row r="916" spans="4:12" s="170" customFormat="1" x14ac:dyDescent="0.2">
      <c r="D916" s="173"/>
      <c r="E916" s="173"/>
      <c r="F916" s="173"/>
      <c r="G916" s="173"/>
      <c r="J916" s="174"/>
      <c r="K916" s="173"/>
      <c r="L916" s="173"/>
    </row>
    <row r="917" spans="4:12" s="170" customFormat="1" x14ac:dyDescent="0.2">
      <c r="D917" s="173"/>
      <c r="E917" s="173"/>
      <c r="F917" s="173"/>
      <c r="G917" s="173"/>
      <c r="J917" s="174"/>
      <c r="K917" s="173"/>
      <c r="L917" s="173"/>
    </row>
    <row r="918" spans="4:12" s="170" customFormat="1" x14ac:dyDescent="0.2">
      <c r="D918" s="173"/>
      <c r="E918" s="173"/>
      <c r="F918" s="173"/>
      <c r="G918" s="173"/>
      <c r="J918" s="174"/>
      <c r="K918" s="173"/>
      <c r="L918" s="173"/>
    </row>
    <row r="919" spans="4:12" s="170" customFormat="1" x14ac:dyDescent="0.2">
      <c r="D919" s="173"/>
      <c r="E919" s="173"/>
      <c r="F919" s="173"/>
      <c r="G919" s="173"/>
      <c r="J919" s="174"/>
      <c r="K919" s="173"/>
      <c r="L919" s="173"/>
    </row>
    <row r="920" spans="4:12" s="170" customFormat="1" x14ac:dyDescent="0.2">
      <c r="D920" s="173"/>
      <c r="E920" s="173"/>
      <c r="F920" s="173"/>
      <c r="G920" s="173"/>
      <c r="J920" s="174"/>
      <c r="K920" s="173"/>
      <c r="L920" s="173"/>
    </row>
    <row r="921" spans="4:12" s="170" customFormat="1" x14ac:dyDescent="0.2">
      <c r="D921" s="173"/>
      <c r="E921" s="173"/>
      <c r="F921" s="173"/>
      <c r="G921" s="173"/>
      <c r="J921" s="174"/>
      <c r="K921" s="173"/>
      <c r="L921" s="173"/>
    </row>
    <row r="922" spans="4:12" s="170" customFormat="1" x14ac:dyDescent="0.2">
      <c r="D922" s="173"/>
      <c r="E922" s="173"/>
      <c r="F922" s="173"/>
      <c r="G922" s="173"/>
      <c r="J922" s="174"/>
      <c r="K922" s="173"/>
      <c r="L922" s="173"/>
    </row>
    <row r="923" spans="4:12" s="170" customFormat="1" x14ac:dyDescent="0.2">
      <c r="D923" s="173"/>
      <c r="E923" s="173"/>
      <c r="F923" s="173"/>
      <c r="G923" s="173"/>
      <c r="J923" s="174"/>
      <c r="K923" s="173"/>
      <c r="L923" s="173"/>
    </row>
    <row r="924" spans="4:12" s="170" customFormat="1" x14ac:dyDescent="0.2">
      <c r="D924" s="173"/>
      <c r="E924" s="173"/>
      <c r="F924" s="173"/>
      <c r="G924" s="173"/>
      <c r="J924" s="174"/>
      <c r="K924" s="173"/>
      <c r="L924" s="173"/>
    </row>
    <row r="925" spans="4:12" s="170" customFormat="1" x14ac:dyDescent="0.2">
      <c r="D925" s="173"/>
      <c r="E925" s="173"/>
      <c r="F925" s="173"/>
      <c r="G925" s="173"/>
      <c r="J925" s="174"/>
      <c r="K925" s="173"/>
      <c r="L925" s="173"/>
    </row>
    <row r="926" spans="4:12" s="170" customFormat="1" x14ac:dyDescent="0.2">
      <c r="D926" s="173"/>
      <c r="E926" s="173"/>
      <c r="F926" s="173"/>
      <c r="G926" s="173"/>
      <c r="J926" s="174"/>
      <c r="K926" s="173"/>
      <c r="L926" s="173"/>
    </row>
    <row r="927" spans="4:12" s="170" customFormat="1" x14ac:dyDescent="0.2">
      <c r="D927" s="173"/>
      <c r="E927" s="173"/>
      <c r="F927" s="173"/>
      <c r="G927" s="173"/>
      <c r="J927" s="174"/>
      <c r="K927" s="173"/>
      <c r="L927" s="173"/>
    </row>
    <row r="928" spans="4:12" s="170" customFormat="1" x14ac:dyDescent="0.2">
      <c r="D928" s="173"/>
      <c r="E928" s="173"/>
      <c r="F928" s="173"/>
      <c r="G928" s="173"/>
      <c r="J928" s="174"/>
      <c r="K928" s="173"/>
      <c r="L928" s="173"/>
    </row>
    <row r="929" spans="4:12" s="170" customFormat="1" x14ac:dyDescent="0.2">
      <c r="D929" s="173"/>
      <c r="E929" s="173"/>
      <c r="F929" s="173"/>
      <c r="G929" s="173"/>
      <c r="J929" s="174"/>
      <c r="K929" s="173"/>
      <c r="L929" s="173"/>
    </row>
    <row r="930" spans="4:12" s="170" customFormat="1" x14ac:dyDescent="0.2">
      <c r="D930" s="173"/>
      <c r="E930" s="173"/>
      <c r="F930" s="173"/>
      <c r="G930" s="173"/>
      <c r="J930" s="174"/>
      <c r="K930" s="173"/>
      <c r="L930" s="173"/>
    </row>
    <row r="931" spans="4:12" s="170" customFormat="1" x14ac:dyDescent="0.2">
      <c r="D931" s="173"/>
      <c r="E931" s="173"/>
      <c r="F931" s="173"/>
      <c r="G931" s="173"/>
      <c r="J931" s="174"/>
      <c r="K931" s="173"/>
      <c r="L931" s="173"/>
    </row>
    <row r="932" spans="4:12" s="170" customFormat="1" x14ac:dyDescent="0.2">
      <c r="D932" s="173"/>
      <c r="E932" s="173"/>
      <c r="F932" s="173"/>
      <c r="G932" s="173"/>
      <c r="J932" s="174"/>
      <c r="K932" s="173"/>
      <c r="L932" s="173"/>
    </row>
    <row r="933" spans="4:12" s="170" customFormat="1" x14ac:dyDescent="0.2">
      <c r="D933" s="173"/>
      <c r="E933" s="173"/>
      <c r="F933" s="173"/>
      <c r="G933" s="173"/>
      <c r="J933" s="174"/>
      <c r="K933" s="173"/>
      <c r="L933" s="173"/>
    </row>
    <row r="934" spans="4:12" s="170" customFormat="1" x14ac:dyDescent="0.2">
      <c r="D934" s="173"/>
      <c r="E934" s="173"/>
      <c r="F934" s="173"/>
      <c r="G934" s="173"/>
      <c r="J934" s="174"/>
      <c r="K934" s="173"/>
      <c r="L934" s="173"/>
    </row>
    <row r="935" spans="4:12" s="170" customFormat="1" x14ac:dyDescent="0.2">
      <c r="D935" s="173"/>
      <c r="E935" s="173"/>
      <c r="F935" s="173"/>
      <c r="G935" s="173"/>
      <c r="J935" s="174"/>
      <c r="K935" s="173"/>
      <c r="L935" s="173"/>
    </row>
    <row r="936" spans="4:12" s="170" customFormat="1" x14ac:dyDescent="0.2">
      <c r="D936" s="173"/>
      <c r="E936" s="173"/>
      <c r="F936" s="173"/>
      <c r="G936" s="173"/>
      <c r="J936" s="174"/>
      <c r="K936" s="173"/>
      <c r="L936" s="173"/>
    </row>
    <row r="937" spans="4:12" s="170" customFormat="1" x14ac:dyDescent="0.2">
      <c r="D937" s="173"/>
      <c r="E937" s="173"/>
      <c r="F937" s="173"/>
      <c r="G937" s="173"/>
      <c r="J937" s="174"/>
      <c r="K937" s="173"/>
      <c r="L937" s="173"/>
    </row>
    <row r="938" spans="4:12" s="170" customFormat="1" x14ac:dyDescent="0.2">
      <c r="D938" s="173"/>
      <c r="E938" s="173"/>
      <c r="F938" s="173"/>
      <c r="G938" s="173"/>
      <c r="J938" s="174"/>
      <c r="K938" s="173"/>
      <c r="L938" s="173"/>
    </row>
    <row r="939" spans="4:12" s="170" customFormat="1" x14ac:dyDescent="0.2">
      <c r="D939" s="173"/>
      <c r="E939" s="173"/>
      <c r="F939" s="173"/>
      <c r="G939" s="173"/>
      <c r="J939" s="174"/>
      <c r="K939" s="173"/>
      <c r="L939" s="173"/>
    </row>
    <row r="940" spans="4:12" s="170" customFormat="1" x14ac:dyDescent="0.2">
      <c r="D940" s="173"/>
      <c r="E940" s="173"/>
      <c r="F940" s="173"/>
      <c r="G940" s="173"/>
      <c r="J940" s="174"/>
      <c r="K940" s="173"/>
      <c r="L940" s="173"/>
    </row>
    <row r="941" spans="4:12" s="170" customFormat="1" x14ac:dyDescent="0.2">
      <c r="D941" s="173"/>
      <c r="E941" s="173"/>
      <c r="F941" s="173"/>
      <c r="G941" s="173"/>
      <c r="J941" s="174"/>
      <c r="K941" s="173"/>
      <c r="L941" s="173"/>
    </row>
    <row r="942" spans="4:12" s="170" customFormat="1" x14ac:dyDescent="0.2">
      <c r="D942" s="173"/>
      <c r="E942" s="173"/>
      <c r="F942" s="173"/>
      <c r="G942" s="173"/>
      <c r="J942" s="174"/>
      <c r="K942" s="173"/>
      <c r="L942" s="173"/>
    </row>
    <row r="943" spans="4:12" s="170" customFormat="1" x14ac:dyDescent="0.2">
      <c r="D943" s="173"/>
      <c r="E943" s="173"/>
      <c r="F943" s="173"/>
      <c r="G943" s="173"/>
      <c r="J943" s="174"/>
      <c r="K943" s="173"/>
      <c r="L943" s="173"/>
    </row>
    <row r="944" spans="4:12" s="170" customFormat="1" x14ac:dyDescent="0.2">
      <c r="D944" s="173"/>
      <c r="E944" s="173"/>
      <c r="F944" s="173"/>
      <c r="G944" s="173"/>
      <c r="J944" s="174"/>
      <c r="K944" s="173"/>
      <c r="L944" s="173"/>
    </row>
    <row r="945" spans="4:12" s="170" customFormat="1" x14ac:dyDescent="0.2">
      <c r="D945" s="173"/>
      <c r="E945" s="173"/>
      <c r="F945" s="173"/>
      <c r="G945" s="173"/>
      <c r="J945" s="174"/>
      <c r="K945" s="173"/>
      <c r="L945" s="173"/>
    </row>
    <row r="946" spans="4:12" s="170" customFormat="1" x14ac:dyDescent="0.2">
      <c r="D946" s="173"/>
      <c r="E946" s="173"/>
      <c r="F946" s="173"/>
      <c r="G946" s="173"/>
      <c r="J946" s="174"/>
      <c r="K946" s="173"/>
      <c r="L946" s="173"/>
    </row>
    <row r="947" spans="4:12" s="170" customFormat="1" x14ac:dyDescent="0.2">
      <c r="D947" s="173"/>
      <c r="E947" s="173"/>
      <c r="F947" s="173"/>
      <c r="G947" s="173"/>
      <c r="J947" s="174"/>
      <c r="K947" s="173"/>
      <c r="L947" s="173"/>
    </row>
    <row r="948" spans="4:12" s="170" customFormat="1" x14ac:dyDescent="0.2">
      <c r="D948" s="173"/>
      <c r="E948" s="173"/>
      <c r="F948" s="173"/>
      <c r="G948" s="173"/>
      <c r="J948" s="174"/>
      <c r="K948" s="173"/>
      <c r="L948" s="173"/>
    </row>
    <row r="949" spans="4:12" s="170" customFormat="1" x14ac:dyDescent="0.2">
      <c r="D949" s="173"/>
      <c r="E949" s="173"/>
      <c r="F949" s="173"/>
      <c r="G949" s="173"/>
      <c r="J949" s="174"/>
      <c r="K949" s="173"/>
      <c r="L949" s="173"/>
    </row>
    <row r="950" spans="4:12" s="170" customFormat="1" x14ac:dyDescent="0.2">
      <c r="D950" s="173"/>
      <c r="E950" s="173"/>
      <c r="F950" s="173"/>
      <c r="G950" s="173"/>
      <c r="J950" s="174"/>
      <c r="K950" s="173"/>
      <c r="L950" s="173"/>
    </row>
    <row r="951" spans="4:12" s="170" customFormat="1" x14ac:dyDescent="0.2">
      <c r="D951" s="173"/>
      <c r="E951" s="173"/>
      <c r="F951" s="173"/>
      <c r="G951" s="173"/>
      <c r="J951" s="174"/>
      <c r="K951" s="173"/>
      <c r="L951" s="173"/>
    </row>
    <row r="952" spans="4:12" s="170" customFormat="1" x14ac:dyDescent="0.2">
      <c r="D952" s="173"/>
      <c r="E952" s="173"/>
      <c r="F952" s="173"/>
      <c r="G952" s="173"/>
      <c r="J952" s="174"/>
      <c r="K952" s="173"/>
      <c r="L952" s="173"/>
    </row>
    <row r="953" spans="4:12" s="170" customFormat="1" x14ac:dyDescent="0.2">
      <c r="D953" s="173"/>
      <c r="E953" s="173"/>
      <c r="F953" s="173"/>
      <c r="G953" s="173"/>
      <c r="J953" s="174"/>
      <c r="K953" s="173"/>
      <c r="L953" s="173"/>
    </row>
    <row r="954" spans="4:12" s="170" customFormat="1" x14ac:dyDescent="0.2">
      <c r="D954" s="173"/>
      <c r="E954" s="173"/>
      <c r="F954" s="173"/>
      <c r="G954" s="173"/>
      <c r="J954" s="174"/>
      <c r="K954" s="173"/>
      <c r="L954" s="173"/>
    </row>
    <row r="955" spans="4:12" s="170" customFormat="1" x14ac:dyDescent="0.2">
      <c r="D955" s="173"/>
      <c r="E955" s="173"/>
      <c r="F955" s="173"/>
      <c r="G955" s="173"/>
      <c r="J955" s="174"/>
      <c r="K955" s="173"/>
      <c r="L955" s="173"/>
    </row>
    <row r="956" spans="4:12" s="170" customFormat="1" x14ac:dyDescent="0.2">
      <c r="D956" s="173"/>
      <c r="E956" s="173"/>
      <c r="F956" s="173"/>
      <c r="G956" s="173"/>
      <c r="J956" s="174"/>
      <c r="K956" s="173"/>
      <c r="L956" s="173"/>
    </row>
    <row r="957" spans="4:12" s="170" customFormat="1" x14ac:dyDescent="0.2">
      <c r="D957" s="173"/>
      <c r="E957" s="173"/>
      <c r="F957" s="173"/>
      <c r="G957" s="173"/>
      <c r="J957" s="174"/>
      <c r="K957" s="173"/>
      <c r="L957" s="173"/>
    </row>
    <row r="958" spans="4:12" s="170" customFormat="1" x14ac:dyDescent="0.2">
      <c r="D958" s="173"/>
      <c r="E958" s="173"/>
      <c r="F958" s="173"/>
      <c r="G958" s="173"/>
      <c r="J958" s="174"/>
      <c r="K958" s="173"/>
      <c r="L958" s="173"/>
    </row>
    <row r="959" spans="4:12" s="170" customFormat="1" x14ac:dyDescent="0.2">
      <c r="D959" s="173"/>
      <c r="E959" s="173"/>
      <c r="F959" s="173"/>
      <c r="G959" s="173"/>
      <c r="J959" s="174"/>
      <c r="K959" s="173"/>
      <c r="L959" s="173"/>
    </row>
    <row r="960" spans="4:12" s="170" customFormat="1" x14ac:dyDescent="0.2">
      <c r="D960" s="173"/>
      <c r="E960" s="173"/>
      <c r="F960" s="173"/>
      <c r="G960" s="173"/>
      <c r="J960" s="174"/>
      <c r="K960" s="173"/>
      <c r="L960" s="173"/>
    </row>
    <row r="961" spans="4:12" s="170" customFormat="1" x14ac:dyDescent="0.2">
      <c r="D961" s="173"/>
      <c r="E961" s="173"/>
      <c r="F961" s="173"/>
      <c r="G961" s="173"/>
      <c r="J961" s="174"/>
      <c r="K961" s="173"/>
      <c r="L961" s="173"/>
    </row>
    <row r="962" spans="4:12" s="170" customFormat="1" x14ac:dyDescent="0.2">
      <c r="D962" s="173"/>
      <c r="E962" s="173"/>
      <c r="F962" s="173"/>
      <c r="G962" s="173"/>
      <c r="J962" s="174"/>
      <c r="K962" s="173"/>
      <c r="L962" s="173"/>
    </row>
    <row r="963" spans="4:12" s="170" customFormat="1" x14ac:dyDescent="0.2">
      <c r="D963" s="173"/>
      <c r="E963" s="173"/>
      <c r="F963" s="173"/>
      <c r="G963" s="173"/>
      <c r="J963" s="174"/>
      <c r="K963" s="173"/>
      <c r="L963" s="173"/>
    </row>
    <row r="964" spans="4:12" s="170" customFormat="1" x14ac:dyDescent="0.2">
      <c r="D964" s="173"/>
      <c r="E964" s="173"/>
      <c r="F964" s="173"/>
      <c r="G964" s="173"/>
      <c r="J964" s="174"/>
      <c r="K964" s="173"/>
      <c r="L964" s="173"/>
    </row>
    <row r="965" spans="4:12" s="170" customFormat="1" x14ac:dyDescent="0.2">
      <c r="D965" s="173"/>
      <c r="E965" s="173"/>
      <c r="F965" s="173"/>
      <c r="G965" s="173"/>
      <c r="J965" s="174"/>
      <c r="K965" s="173"/>
      <c r="L965" s="173"/>
    </row>
    <row r="966" spans="4:12" s="170" customFormat="1" x14ac:dyDescent="0.2">
      <c r="D966" s="173"/>
      <c r="E966" s="173"/>
      <c r="F966" s="173"/>
      <c r="G966" s="173"/>
      <c r="J966" s="174"/>
      <c r="K966" s="173"/>
      <c r="L966" s="173"/>
    </row>
    <row r="967" spans="4:12" s="170" customFormat="1" x14ac:dyDescent="0.2">
      <c r="D967" s="173"/>
      <c r="E967" s="173"/>
      <c r="F967" s="173"/>
      <c r="G967" s="173"/>
      <c r="J967" s="174"/>
      <c r="K967" s="173"/>
      <c r="L967" s="173"/>
    </row>
    <row r="968" spans="4:12" s="170" customFormat="1" x14ac:dyDescent="0.2">
      <c r="D968" s="173"/>
      <c r="E968" s="173"/>
      <c r="F968" s="173"/>
      <c r="G968" s="173"/>
      <c r="J968" s="174"/>
      <c r="K968" s="173"/>
      <c r="L968" s="173"/>
    </row>
    <row r="969" spans="4:12" s="170" customFormat="1" x14ac:dyDescent="0.2">
      <c r="D969" s="173"/>
      <c r="E969" s="173"/>
      <c r="F969" s="173"/>
      <c r="G969" s="173"/>
      <c r="J969" s="174"/>
      <c r="K969" s="173"/>
      <c r="L969" s="173"/>
    </row>
    <row r="970" spans="4:12" s="170" customFormat="1" x14ac:dyDescent="0.2">
      <c r="D970" s="173"/>
      <c r="E970" s="173"/>
      <c r="F970" s="173"/>
      <c r="G970" s="173"/>
      <c r="J970" s="174"/>
      <c r="K970" s="173"/>
      <c r="L970" s="173"/>
    </row>
    <row r="971" spans="4:12" s="170" customFormat="1" x14ac:dyDescent="0.2">
      <c r="D971" s="173"/>
      <c r="E971" s="173"/>
      <c r="F971" s="173"/>
      <c r="G971" s="173"/>
      <c r="J971" s="174"/>
      <c r="K971" s="173"/>
      <c r="L971" s="173"/>
    </row>
    <row r="972" spans="4:12" s="170" customFormat="1" x14ac:dyDescent="0.2">
      <c r="D972" s="173"/>
      <c r="E972" s="173"/>
      <c r="F972" s="173"/>
      <c r="G972" s="173"/>
      <c r="J972" s="174"/>
      <c r="K972" s="173"/>
      <c r="L972" s="173"/>
    </row>
    <row r="973" spans="4:12" s="170" customFormat="1" x14ac:dyDescent="0.2">
      <c r="D973" s="173"/>
      <c r="E973" s="173"/>
      <c r="F973" s="173"/>
      <c r="G973" s="173"/>
      <c r="J973" s="174"/>
      <c r="K973" s="173"/>
      <c r="L973" s="173"/>
    </row>
    <row r="974" spans="4:12" s="170" customFormat="1" x14ac:dyDescent="0.2">
      <c r="D974" s="173"/>
      <c r="E974" s="173"/>
      <c r="F974" s="173"/>
      <c r="G974" s="173"/>
      <c r="J974" s="174"/>
      <c r="K974" s="173"/>
      <c r="L974" s="173"/>
    </row>
    <row r="975" spans="4:12" s="170" customFormat="1" x14ac:dyDescent="0.2">
      <c r="D975" s="173"/>
      <c r="E975" s="173"/>
      <c r="F975" s="173"/>
      <c r="G975" s="173"/>
      <c r="J975" s="174"/>
      <c r="K975" s="173"/>
      <c r="L975" s="173"/>
    </row>
    <row r="976" spans="4:12" s="170" customFormat="1" x14ac:dyDescent="0.2">
      <c r="D976" s="173"/>
      <c r="E976" s="173"/>
      <c r="F976" s="173"/>
      <c r="G976" s="173"/>
      <c r="J976" s="174"/>
      <c r="K976" s="173"/>
      <c r="L976" s="173"/>
    </row>
    <row r="977" spans="4:12" s="170" customFormat="1" x14ac:dyDescent="0.2">
      <c r="D977" s="173"/>
      <c r="E977" s="173"/>
      <c r="F977" s="173"/>
      <c r="G977" s="173"/>
      <c r="J977" s="174"/>
      <c r="K977" s="173"/>
      <c r="L977" s="173"/>
    </row>
    <row r="978" spans="4:12" s="170" customFormat="1" x14ac:dyDescent="0.2">
      <c r="D978" s="173"/>
      <c r="E978" s="173"/>
      <c r="F978" s="173"/>
      <c r="G978" s="173"/>
      <c r="J978" s="174"/>
      <c r="K978" s="173"/>
      <c r="L978" s="173"/>
    </row>
    <row r="979" spans="4:12" s="170" customFormat="1" x14ac:dyDescent="0.2">
      <c r="D979" s="173"/>
      <c r="E979" s="173"/>
      <c r="F979" s="173"/>
      <c r="G979" s="173"/>
      <c r="J979" s="174"/>
      <c r="K979" s="173"/>
      <c r="L979" s="173"/>
    </row>
    <row r="980" spans="4:12" s="170" customFormat="1" x14ac:dyDescent="0.2">
      <c r="D980" s="173"/>
      <c r="E980" s="173"/>
      <c r="F980" s="173"/>
      <c r="G980" s="173"/>
      <c r="J980" s="174"/>
      <c r="K980" s="173"/>
      <c r="L980" s="173"/>
    </row>
    <row r="981" spans="4:12" s="170" customFormat="1" x14ac:dyDescent="0.2">
      <c r="D981" s="173"/>
      <c r="E981" s="173"/>
      <c r="F981" s="173"/>
      <c r="G981" s="173"/>
      <c r="J981" s="174"/>
      <c r="K981" s="173"/>
      <c r="L981" s="173"/>
    </row>
    <row r="982" spans="4:12" s="170" customFormat="1" x14ac:dyDescent="0.2">
      <c r="D982" s="173"/>
      <c r="E982" s="173"/>
      <c r="F982" s="173"/>
      <c r="G982" s="173"/>
      <c r="J982" s="174"/>
      <c r="K982" s="173"/>
      <c r="L982" s="173"/>
    </row>
    <row r="983" spans="4:12" s="170" customFormat="1" x14ac:dyDescent="0.2">
      <c r="D983" s="173"/>
      <c r="E983" s="173"/>
      <c r="F983" s="173"/>
      <c r="G983" s="173"/>
      <c r="J983" s="174"/>
      <c r="K983" s="173"/>
      <c r="L983" s="173"/>
    </row>
    <row r="984" spans="4:12" s="170" customFormat="1" x14ac:dyDescent="0.2">
      <c r="D984" s="173"/>
      <c r="E984" s="173"/>
      <c r="F984" s="173"/>
      <c r="G984" s="173"/>
      <c r="J984" s="174"/>
      <c r="K984" s="173"/>
      <c r="L984" s="173"/>
    </row>
    <row r="985" spans="4:12" s="170" customFormat="1" x14ac:dyDescent="0.2">
      <c r="D985" s="173"/>
      <c r="E985" s="173"/>
      <c r="F985" s="173"/>
      <c r="G985" s="173"/>
      <c r="J985" s="174"/>
      <c r="K985" s="173"/>
      <c r="L985" s="173"/>
    </row>
    <row r="986" spans="4:12" s="170" customFormat="1" x14ac:dyDescent="0.2">
      <c r="D986" s="173"/>
      <c r="E986" s="173"/>
      <c r="F986" s="173"/>
      <c r="G986" s="173"/>
      <c r="J986" s="174"/>
      <c r="K986" s="173"/>
      <c r="L986" s="173"/>
    </row>
    <row r="987" spans="4:12" s="170" customFormat="1" x14ac:dyDescent="0.2">
      <c r="D987" s="173"/>
      <c r="E987" s="173"/>
      <c r="F987" s="173"/>
      <c r="G987" s="173"/>
      <c r="J987" s="174"/>
      <c r="K987" s="173"/>
      <c r="L987" s="173"/>
    </row>
    <row r="988" spans="4:12" s="170" customFormat="1" x14ac:dyDescent="0.2">
      <c r="D988" s="173"/>
      <c r="E988" s="173"/>
      <c r="F988" s="173"/>
      <c r="G988" s="173"/>
      <c r="J988" s="174"/>
      <c r="K988" s="173"/>
      <c r="L988" s="173"/>
    </row>
    <row r="989" spans="4:12" s="170" customFormat="1" x14ac:dyDescent="0.2">
      <c r="D989" s="173"/>
      <c r="E989" s="173"/>
      <c r="F989" s="173"/>
      <c r="G989" s="173"/>
      <c r="J989" s="174"/>
      <c r="K989" s="173"/>
      <c r="L989" s="173"/>
    </row>
    <row r="990" spans="4:12" s="170" customFormat="1" x14ac:dyDescent="0.2">
      <c r="D990" s="173"/>
      <c r="E990" s="173"/>
      <c r="F990" s="173"/>
      <c r="G990" s="173"/>
      <c r="J990" s="174"/>
      <c r="K990" s="173"/>
      <c r="L990" s="173"/>
    </row>
    <row r="991" spans="4:12" s="170" customFormat="1" x14ac:dyDescent="0.2">
      <c r="D991" s="173"/>
      <c r="E991" s="173"/>
      <c r="F991" s="173"/>
      <c r="G991" s="173"/>
      <c r="J991" s="174"/>
      <c r="K991" s="173"/>
      <c r="L991" s="173"/>
    </row>
    <row r="992" spans="4:12" s="170" customFormat="1" x14ac:dyDescent="0.2">
      <c r="D992" s="173"/>
      <c r="E992" s="173"/>
      <c r="F992" s="173"/>
      <c r="G992" s="173"/>
      <c r="J992" s="174"/>
      <c r="K992" s="173"/>
      <c r="L992" s="173"/>
    </row>
    <row r="993" spans="4:12" s="170" customFormat="1" x14ac:dyDescent="0.2">
      <c r="D993" s="173"/>
      <c r="E993" s="173"/>
      <c r="F993" s="173"/>
      <c r="G993" s="173"/>
      <c r="J993" s="174"/>
      <c r="K993" s="173"/>
      <c r="L993" s="173"/>
    </row>
    <row r="994" spans="4:12" s="170" customFormat="1" x14ac:dyDescent="0.2">
      <c r="D994" s="173"/>
      <c r="E994" s="173"/>
      <c r="F994" s="173"/>
      <c r="G994" s="173"/>
      <c r="J994" s="174"/>
      <c r="K994" s="173"/>
      <c r="L994" s="173"/>
    </row>
    <row r="995" spans="4:12" s="170" customFormat="1" x14ac:dyDescent="0.2">
      <c r="D995" s="173"/>
      <c r="E995" s="173"/>
      <c r="F995" s="173"/>
      <c r="G995" s="173"/>
      <c r="J995" s="174"/>
      <c r="K995" s="173"/>
      <c r="L995" s="173"/>
    </row>
    <row r="996" spans="4:12" s="170" customFormat="1" x14ac:dyDescent="0.2">
      <c r="D996" s="173"/>
      <c r="E996" s="173"/>
      <c r="F996" s="173"/>
      <c r="G996" s="173"/>
      <c r="J996" s="174"/>
      <c r="K996" s="173"/>
      <c r="L996" s="173"/>
    </row>
    <row r="997" spans="4:12" s="170" customFormat="1" x14ac:dyDescent="0.2">
      <c r="D997" s="173"/>
      <c r="E997" s="173"/>
      <c r="F997" s="173"/>
      <c r="G997" s="173"/>
      <c r="J997" s="174"/>
      <c r="K997" s="173"/>
      <c r="L997" s="173"/>
    </row>
    <row r="998" spans="4:12" s="170" customFormat="1" x14ac:dyDescent="0.2">
      <c r="D998" s="173"/>
      <c r="E998" s="173"/>
      <c r="F998" s="173"/>
      <c r="G998" s="173"/>
      <c r="J998" s="174"/>
      <c r="K998" s="173"/>
      <c r="L998" s="173"/>
    </row>
    <row r="999" spans="4:12" s="170" customFormat="1" x14ac:dyDescent="0.2">
      <c r="D999" s="173"/>
      <c r="E999" s="173"/>
      <c r="F999" s="173"/>
      <c r="G999" s="173"/>
      <c r="J999" s="174"/>
      <c r="K999" s="173"/>
      <c r="L999" s="173"/>
    </row>
    <row r="1000" spans="4:12" s="170" customFormat="1" x14ac:dyDescent="0.2">
      <c r="D1000" s="173"/>
      <c r="E1000" s="173"/>
      <c r="F1000" s="173"/>
      <c r="G1000" s="173"/>
      <c r="J1000" s="174"/>
      <c r="K1000" s="173"/>
      <c r="L1000" s="173"/>
    </row>
    <row r="1001" spans="4:12" s="170" customFormat="1" x14ac:dyDescent="0.2">
      <c r="D1001" s="173"/>
      <c r="E1001" s="173"/>
      <c r="F1001" s="173"/>
      <c r="G1001" s="173"/>
      <c r="J1001" s="174"/>
      <c r="K1001" s="173"/>
      <c r="L1001" s="173"/>
    </row>
    <row r="1002" spans="4:12" s="170" customFormat="1" x14ac:dyDescent="0.2">
      <c r="D1002" s="173"/>
      <c r="E1002" s="173"/>
      <c r="F1002" s="173"/>
      <c r="G1002" s="173"/>
      <c r="J1002" s="174"/>
      <c r="K1002" s="173"/>
      <c r="L1002" s="173"/>
    </row>
    <row r="1003" spans="4:12" s="170" customFormat="1" x14ac:dyDescent="0.2">
      <c r="D1003" s="173"/>
      <c r="E1003" s="173"/>
      <c r="F1003" s="173"/>
      <c r="G1003" s="173"/>
      <c r="J1003" s="174"/>
      <c r="K1003" s="173"/>
      <c r="L1003" s="173"/>
    </row>
    <row r="1004" spans="4:12" s="170" customFormat="1" x14ac:dyDescent="0.2">
      <c r="D1004" s="173"/>
      <c r="E1004" s="173"/>
      <c r="F1004" s="173"/>
      <c r="G1004" s="173"/>
      <c r="J1004" s="174"/>
      <c r="K1004" s="173"/>
      <c r="L1004" s="173"/>
    </row>
    <row r="1005" spans="4:12" s="170" customFormat="1" x14ac:dyDescent="0.2">
      <c r="D1005" s="173"/>
      <c r="E1005" s="173"/>
      <c r="F1005" s="173"/>
      <c r="G1005" s="173"/>
      <c r="J1005" s="174"/>
      <c r="K1005" s="173"/>
      <c r="L1005" s="173"/>
    </row>
    <row r="1006" spans="4:12" s="170" customFormat="1" x14ac:dyDescent="0.2">
      <c r="D1006" s="173"/>
      <c r="E1006" s="173"/>
      <c r="F1006" s="173"/>
      <c r="G1006" s="173"/>
      <c r="J1006" s="174"/>
      <c r="K1006" s="173"/>
      <c r="L1006" s="173"/>
    </row>
    <row r="1007" spans="4:12" s="170" customFormat="1" x14ac:dyDescent="0.2">
      <c r="D1007" s="173"/>
      <c r="E1007" s="173"/>
      <c r="F1007" s="173"/>
      <c r="G1007" s="173"/>
      <c r="J1007" s="174"/>
      <c r="K1007" s="173"/>
      <c r="L1007" s="173"/>
    </row>
    <row r="1008" spans="4:12" s="170" customFormat="1" x14ac:dyDescent="0.2">
      <c r="D1008" s="173"/>
      <c r="E1008" s="173"/>
      <c r="F1008" s="173"/>
      <c r="G1008" s="173"/>
      <c r="J1008" s="174"/>
      <c r="K1008" s="173"/>
      <c r="L1008" s="173"/>
    </row>
    <row r="1009" spans="4:12" s="170" customFormat="1" x14ac:dyDescent="0.2">
      <c r="D1009" s="173"/>
      <c r="E1009" s="173"/>
      <c r="F1009" s="173"/>
      <c r="G1009" s="173"/>
      <c r="J1009" s="174"/>
      <c r="K1009" s="173"/>
      <c r="L1009" s="173"/>
    </row>
    <row r="1010" spans="4:12" s="170" customFormat="1" x14ac:dyDescent="0.2">
      <c r="D1010" s="173"/>
      <c r="E1010" s="173"/>
      <c r="F1010" s="173"/>
      <c r="G1010" s="173"/>
      <c r="J1010" s="174"/>
      <c r="K1010" s="173"/>
      <c r="L1010" s="173"/>
    </row>
    <row r="1011" spans="4:12" s="170" customFormat="1" x14ac:dyDescent="0.2">
      <c r="D1011" s="173"/>
      <c r="E1011" s="173"/>
      <c r="F1011" s="173"/>
      <c r="G1011" s="173"/>
      <c r="J1011" s="174"/>
      <c r="K1011" s="173"/>
      <c r="L1011" s="173"/>
    </row>
    <row r="1012" spans="4:12" s="170" customFormat="1" x14ac:dyDescent="0.2">
      <c r="D1012" s="173"/>
      <c r="E1012" s="173"/>
      <c r="F1012" s="173"/>
      <c r="G1012" s="173"/>
      <c r="J1012" s="174"/>
      <c r="K1012" s="173"/>
      <c r="L1012" s="173"/>
    </row>
    <row r="1013" spans="4:12" s="170" customFormat="1" x14ac:dyDescent="0.2">
      <c r="D1013" s="173"/>
      <c r="E1013" s="173"/>
      <c r="F1013" s="173"/>
      <c r="G1013" s="173"/>
      <c r="J1013" s="174"/>
      <c r="K1013" s="173"/>
      <c r="L1013" s="173"/>
    </row>
    <row r="1014" spans="4:12" s="170" customFormat="1" x14ac:dyDescent="0.2">
      <c r="D1014" s="173"/>
      <c r="E1014" s="173"/>
      <c r="F1014" s="173"/>
      <c r="G1014" s="173"/>
      <c r="J1014" s="174"/>
      <c r="K1014" s="173"/>
      <c r="L1014" s="173"/>
    </row>
    <row r="1015" spans="4:12" s="170" customFormat="1" x14ac:dyDescent="0.2">
      <c r="D1015" s="173"/>
      <c r="E1015" s="173"/>
      <c r="F1015" s="173"/>
      <c r="G1015" s="173"/>
      <c r="J1015" s="174"/>
      <c r="K1015" s="173"/>
      <c r="L1015" s="173"/>
    </row>
    <row r="1016" spans="4:12" s="170" customFormat="1" x14ac:dyDescent="0.2">
      <c r="D1016" s="173"/>
      <c r="E1016" s="173"/>
      <c r="F1016" s="173"/>
      <c r="G1016" s="173"/>
      <c r="J1016" s="174"/>
      <c r="K1016" s="173"/>
      <c r="L1016" s="173"/>
    </row>
    <row r="1017" spans="4:12" s="170" customFormat="1" x14ac:dyDescent="0.2">
      <c r="D1017" s="173"/>
      <c r="E1017" s="173"/>
      <c r="F1017" s="173"/>
      <c r="G1017" s="173"/>
      <c r="J1017" s="174"/>
      <c r="K1017" s="173"/>
      <c r="L1017" s="173"/>
    </row>
    <row r="1018" spans="4:12" s="170" customFormat="1" x14ac:dyDescent="0.2">
      <c r="D1018" s="173"/>
      <c r="E1018" s="173"/>
      <c r="F1018" s="173"/>
      <c r="G1018" s="173"/>
      <c r="J1018" s="174"/>
      <c r="K1018" s="173"/>
      <c r="L1018" s="173"/>
    </row>
    <row r="1019" spans="4:12" s="170" customFormat="1" x14ac:dyDescent="0.2">
      <c r="D1019" s="173"/>
      <c r="E1019" s="173"/>
      <c r="F1019" s="173"/>
      <c r="G1019" s="173"/>
      <c r="J1019" s="174"/>
      <c r="K1019" s="173"/>
      <c r="L1019" s="173"/>
    </row>
    <row r="1020" spans="4:12" s="170" customFormat="1" x14ac:dyDescent="0.2">
      <c r="D1020" s="173"/>
      <c r="E1020" s="173"/>
      <c r="F1020" s="173"/>
      <c r="G1020" s="173"/>
      <c r="J1020" s="174"/>
      <c r="K1020" s="173"/>
      <c r="L1020" s="173"/>
    </row>
    <row r="1021" spans="4:12" s="170" customFormat="1" x14ac:dyDescent="0.2">
      <c r="D1021" s="173"/>
      <c r="E1021" s="173"/>
      <c r="F1021" s="173"/>
      <c r="G1021" s="173"/>
      <c r="J1021" s="174"/>
      <c r="K1021" s="173"/>
      <c r="L1021" s="173"/>
    </row>
    <row r="1022" spans="4:12" s="170" customFormat="1" x14ac:dyDescent="0.2">
      <c r="D1022" s="173"/>
      <c r="E1022" s="173"/>
      <c r="F1022" s="173"/>
      <c r="G1022" s="173"/>
      <c r="J1022" s="174"/>
      <c r="K1022" s="173"/>
      <c r="L1022" s="173"/>
    </row>
    <row r="1023" spans="4:12" s="170" customFormat="1" x14ac:dyDescent="0.2">
      <c r="D1023" s="173"/>
      <c r="E1023" s="173"/>
      <c r="F1023" s="173"/>
      <c r="G1023" s="173"/>
      <c r="J1023" s="174"/>
      <c r="K1023" s="173"/>
      <c r="L1023" s="173"/>
    </row>
    <row r="1024" spans="4:12" s="170" customFormat="1" x14ac:dyDescent="0.2">
      <c r="D1024" s="173"/>
      <c r="E1024" s="173"/>
      <c r="F1024" s="173"/>
      <c r="G1024" s="173"/>
      <c r="J1024" s="174"/>
      <c r="K1024" s="173"/>
      <c r="L1024" s="173"/>
    </row>
    <row r="1025" spans="4:12" s="170" customFormat="1" x14ac:dyDescent="0.2">
      <c r="D1025" s="173"/>
      <c r="E1025" s="173"/>
      <c r="F1025" s="173"/>
      <c r="G1025" s="173"/>
      <c r="J1025" s="174"/>
      <c r="K1025" s="173"/>
      <c r="L1025" s="173"/>
    </row>
    <row r="1026" spans="4:12" s="170" customFormat="1" x14ac:dyDescent="0.2">
      <c r="D1026" s="173"/>
      <c r="E1026" s="173"/>
      <c r="F1026" s="173"/>
      <c r="G1026" s="173"/>
      <c r="J1026" s="174"/>
      <c r="K1026" s="173"/>
      <c r="L1026" s="173"/>
    </row>
    <row r="1027" spans="4:12" s="170" customFormat="1" x14ac:dyDescent="0.2">
      <c r="D1027" s="173"/>
      <c r="E1027" s="173"/>
      <c r="F1027" s="173"/>
      <c r="G1027" s="173"/>
      <c r="J1027" s="174"/>
      <c r="K1027" s="173"/>
      <c r="L1027" s="173"/>
    </row>
    <row r="1028" spans="4:12" s="170" customFormat="1" x14ac:dyDescent="0.2">
      <c r="D1028" s="173"/>
      <c r="E1028" s="173"/>
      <c r="F1028" s="173"/>
      <c r="G1028" s="173"/>
      <c r="J1028" s="174"/>
      <c r="K1028" s="173"/>
      <c r="L1028" s="173"/>
    </row>
    <row r="1029" spans="4:12" s="170" customFormat="1" x14ac:dyDescent="0.2">
      <c r="D1029" s="173"/>
      <c r="E1029" s="173"/>
      <c r="F1029" s="173"/>
      <c r="G1029" s="173"/>
      <c r="J1029" s="174"/>
      <c r="K1029" s="173"/>
      <c r="L1029" s="173"/>
    </row>
    <row r="1030" spans="4:12" s="170" customFormat="1" x14ac:dyDescent="0.2">
      <c r="D1030" s="173"/>
      <c r="E1030" s="173"/>
      <c r="F1030" s="173"/>
      <c r="G1030" s="173"/>
      <c r="J1030" s="174"/>
      <c r="K1030" s="173"/>
      <c r="L1030" s="173"/>
    </row>
    <row r="1031" spans="4:12" s="170" customFormat="1" x14ac:dyDescent="0.2">
      <c r="D1031" s="173"/>
      <c r="E1031" s="173"/>
      <c r="F1031" s="173"/>
      <c r="G1031" s="173"/>
      <c r="J1031" s="174"/>
      <c r="K1031" s="173"/>
      <c r="L1031" s="173"/>
    </row>
    <row r="1032" spans="4:12" s="170" customFormat="1" x14ac:dyDescent="0.2">
      <c r="D1032" s="173"/>
      <c r="E1032" s="173"/>
      <c r="F1032" s="173"/>
      <c r="G1032" s="173"/>
      <c r="J1032" s="174"/>
      <c r="K1032" s="173"/>
      <c r="L1032" s="173"/>
    </row>
    <row r="1033" spans="4:12" s="170" customFormat="1" x14ac:dyDescent="0.2">
      <c r="D1033" s="173"/>
      <c r="E1033" s="173"/>
      <c r="F1033" s="173"/>
      <c r="G1033" s="173"/>
      <c r="J1033" s="174"/>
      <c r="K1033" s="173"/>
      <c r="L1033" s="173"/>
    </row>
    <row r="1034" spans="4:12" s="170" customFormat="1" x14ac:dyDescent="0.2">
      <c r="D1034" s="173"/>
      <c r="E1034" s="173"/>
      <c r="F1034" s="173"/>
      <c r="G1034" s="173"/>
      <c r="J1034" s="174"/>
      <c r="K1034" s="173"/>
      <c r="L1034" s="173"/>
    </row>
    <row r="1035" spans="4:12" s="170" customFormat="1" x14ac:dyDescent="0.2">
      <c r="D1035" s="173"/>
      <c r="E1035" s="173"/>
      <c r="F1035" s="173"/>
      <c r="G1035" s="173"/>
      <c r="J1035" s="174"/>
      <c r="K1035" s="173"/>
      <c r="L1035" s="173"/>
    </row>
    <row r="1036" spans="4:12" s="170" customFormat="1" x14ac:dyDescent="0.2">
      <c r="D1036" s="173"/>
      <c r="E1036" s="173"/>
      <c r="F1036" s="173"/>
      <c r="G1036" s="173"/>
      <c r="J1036" s="174"/>
      <c r="K1036" s="173"/>
      <c r="L1036" s="173"/>
    </row>
    <row r="1037" spans="4:12" s="170" customFormat="1" x14ac:dyDescent="0.2">
      <c r="D1037" s="173"/>
      <c r="E1037" s="173"/>
      <c r="F1037" s="173"/>
      <c r="G1037" s="173"/>
      <c r="J1037" s="174"/>
      <c r="K1037" s="173"/>
      <c r="L1037" s="173"/>
    </row>
    <row r="1038" spans="4:12" s="170" customFormat="1" x14ac:dyDescent="0.2">
      <c r="D1038" s="173"/>
      <c r="E1038" s="173"/>
      <c r="F1038" s="173"/>
      <c r="G1038" s="173"/>
      <c r="J1038" s="174"/>
      <c r="K1038" s="173"/>
      <c r="L1038" s="173"/>
    </row>
    <row r="1039" spans="4:12" s="170" customFormat="1" x14ac:dyDescent="0.2">
      <c r="D1039" s="173"/>
      <c r="E1039" s="173"/>
      <c r="F1039" s="173"/>
      <c r="G1039" s="173"/>
      <c r="J1039" s="174"/>
      <c r="K1039" s="173"/>
      <c r="L1039" s="173"/>
    </row>
    <row r="1040" spans="4:12" s="170" customFormat="1" x14ac:dyDescent="0.2">
      <c r="D1040" s="173"/>
      <c r="E1040" s="173"/>
      <c r="F1040" s="173"/>
      <c r="G1040" s="173"/>
      <c r="J1040" s="174"/>
      <c r="K1040" s="173"/>
      <c r="L1040" s="173"/>
    </row>
    <row r="1041" spans="4:12" s="170" customFormat="1" x14ac:dyDescent="0.2">
      <c r="D1041" s="173"/>
      <c r="E1041" s="173"/>
      <c r="F1041" s="173"/>
      <c r="G1041" s="173"/>
      <c r="J1041" s="174"/>
      <c r="K1041" s="173"/>
      <c r="L1041" s="173"/>
    </row>
    <row r="1042" spans="4:12" s="170" customFormat="1" x14ac:dyDescent="0.2">
      <c r="D1042" s="173"/>
      <c r="E1042" s="173"/>
      <c r="F1042" s="173"/>
      <c r="G1042" s="173"/>
      <c r="J1042" s="174"/>
      <c r="K1042" s="173"/>
      <c r="L1042" s="173"/>
    </row>
    <row r="1043" spans="4:12" s="170" customFormat="1" x14ac:dyDescent="0.2">
      <c r="D1043" s="173"/>
      <c r="E1043" s="173"/>
      <c r="F1043" s="173"/>
      <c r="G1043" s="173"/>
      <c r="J1043" s="174"/>
      <c r="K1043" s="173"/>
      <c r="L1043" s="173"/>
    </row>
    <row r="1044" spans="4:12" s="170" customFormat="1" x14ac:dyDescent="0.2">
      <c r="D1044" s="173"/>
      <c r="E1044" s="173"/>
      <c r="F1044" s="173"/>
      <c r="G1044" s="173"/>
      <c r="J1044" s="174"/>
      <c r="K1044" s="173"/>
      <c r="L1044" s="173"/>
    </row>
    <row r="1045" spans="4:12" s="170" customFormat="1" x14ac:dyDescent="0.2">
      <c r="D1045" s="173"/>
      <c r="E1045" s="173"/>
      <c r="F1045" s="173"/>
      <c r="G1045" s="173"/>
      <c r="J1045" s="174"/>
      <c r="K1045" s="173"/>
      <c r="L1045" s="173"/>
    </row>
    <row r="1046" spans="4:12" s="170" customFormat="1" x14ac:dyDescent="0.2">
      <c r="D1046" s="173"/>
      <c r="E1046" s="173"/>
      <c r="F1046" s="173"/>
      <c r="G1046" s="173"/>
      <c r="J1046" s="174"/>
      <c r="K1046" s="173"/>
      <c r="L1046" s="173"/>
    </row>
    <row r="1047" spans="4:12" s="170" customFormat="1" x14ac:dyDescent="0.2">
      <c r="D1047" s="173"/>
      <c r="E1047" s="173"/>
      <c r="F1047" s="173"/>
      <c r="G1047" s="173"/>
      <c r="J1047" s="174"/>
      <c r="K1047" s="173"/>
      <c r="L1047" s="173"/>
    </row>
    <row r="1048" spans="4:12" s="170" customFormat="1" x14ac:dyDescent="0.2">
      <c r="D1048" s="173"/>
      <c r="E1048" s="173"/>
      <c r="F1048" s="173"/>
      <c r="G1048" s="173"/>
      <c r="J1048" s="174"/>
      <c r="K1048" s="173"/>
      <c r="L1048" s="173"/>
    </row>
    <row r="1049" spans="4:12" s="170" customFormat="1" x14ac:dyDescent="0.2">
      <c r="D1049" s="173"/>
      <c r="E1049" s="173"/>
      <c r="F1049" s="173"/>
      <c r="G1049" s="173"/>
      <c r="J1049" s="174"/>
      <c r="K1049" s="173"/>
      <c r="L1049" s="173"/>
    </row>
    <row r="1050" spans="4:12" s="170" customFormat="1" x14ac:dyDescent="0.2">
      <c r="D1050" s="173"/>
      <c r="E1050" s="173"/>
      <c r="F1050" s="173"/>
      <c r="G1050" s="173"/>
      <c r="J1050" s="174"/>
      <c r="K1050" s="173"/>
      <c r="L1050" s="173"/>
    </row>
    <row r="1051" spans="4:12" s="170" customFormat="1" x14ac:dyDescent="0.2">
      <c r="D1051" s="173"/>
      <c r="E1051" s="173"/>
      <c r="F1051" s="173"/>
      <c r="G1051" s="173"/>
      <c r="J1051" s="174"/>
      <c r="K1051" s="173"/>
      <c r="L1051" s="173"/>
    </row>
    <row r="1052" spans="4:12" s="170" customFormat="1" x14ac:dyDescent="0.2">
      <c r="D1052" s="173"/>
      <c r="E1052" s="173"/>
      <c r="F1052" s="173"/>
      <c r="G1052" s="173"/>
      <c r="J1052" s="174"/>
      <c r="K1052" s="173"/>
      <c r="L1052" s="173"/>
    </row>
    <row r="1053" spans="4:12" s="170" customFormat="1" x14ac:dyDescent="0.2">
      <c r="D1053" s="173"/>
      <c r="E1053" s="173"/>
      <c r="F1053" s="173"/>
      <c r="G1053" s="173"/>
      <c r="J1053" s="174"/>
      <c r="K1053" s="173"/>
      <c r="L1053" s="173"/>
    </row>
    <row r="1054" spans="4:12" s="170" customFormat="1" x14ac:dyDescent="0.2">
      <c r="D1054" s="173"/>
      <c r="E1054" s="173"/>
      <c r="F1054" s="173"/>
      <c r="G1054" s="173"/>
      <c r="J1054" s="174"/>
      <c r="K1054" s="173"/>
      <c r="L1054" s="173"/>
    </row>
    <row r="1055" spans="4:12" s="170" customFormat="1" x14ac:dyDescent="0.2">
      <c r="D1055" s="173"/>
      <c r="E1055" s="173"/>
      <c r="F1055" s="173"/>
      <c r="G1055" s="173"/>
      <c r="J1055" s="174"/>
      <c r="K1055" s="173"/>
      <c r="L1055" s="173"/>
    </row>
    <row r="1056" spans="4:12" s="170" customFormat="1" x14ac:dyDescent="0.2">
      <c r="D1056" s="173"/>
      <c r="E1056" s="173"/>
      <c r="F1056" s="173"/>
      <c r="G1056" s="173"/>
      <c r="J1056" s="174"/>
      <c r="K1056" s="173"/>
      <c r="L1056" s="173"/>
    </row>
    <row r="1057" spans="4:12" s="170" customFormat="1" x14ac:dyDescent="0.2">
      <c r="D1057" s="173"/>
      <c r="E1057" s="173"/>
      <c r="F1057" s="173"/>
      <c r="G1057" s="173"/>
      <c r="J1057" s="174"/>
      <c r="K1057" s="173"/>
      <c r="L1057" s="173"/>
    </row>
    <row r="1058" spans="4:12" s="170" customFormat="1" x14ac:dyDescent="0.2">
      <c r="D1058" s="173"/>
      <c r="E1058" s="173"/>
      <c r="F1058" s="173"/>
      <c r="G1058" s="173"/>
      <c r="J1058" s="174"/>
      <c r="K1058" s="173"/>
      <c r="L1058" s="173"/>
    </row>
    <row r="1059" spans="4:12" s="170" customFormat="1" x14ac:dyDescent="0.2">
      <c r="D1059" s="173"/>
      <c r="E1059" s="173"/>
      <c r="F1059" s="173"/>
      <c r="G1059" s="173"/>
      <c r="J1059" s="174"/>
      <c r="K1059" s="173"/>
      <c r="L1059" s="173"/>
    </row>
    <row r="1060" spans="4:12" s="170" customFormat="1" x14ac:dyDescent="0.2">
      <c r="D1060" s="173"/>
      <c r="E1060" s="173"/>
      <c r="F1060" s="173"/>
      <c r="G1060" s="173"/>
      <c r="J1060" s="174"/>
      <c r="K1060" s="173"/>
      <c r="L1060" s="173"/>
    </row>
    <row r="1061" spans="4:12" s="170" customFormat="1" x14ac:dyDescent="0.2">
      <c r="D1061" s="173"/>
      <c r="E1061" s="173"/>
      <c r="F1061" s="173"/>
      <c r="G1061" s="173"/>
      <c r="J1061" s="174"/>
      <c r="K1061" s="173"/>
      <c r="L1061" s="173"/>
    </row>
    <row r="1062" spans="4:12" s="170" customFormat="1" x14ac:dyDescent="0.2">
      <c r="D1062" s="173"/>
      <c r="E1062" s="173"/>
      <c r="F1062" s="173"/>
      <c r="G1062" s="173"/>
      <c r="J1062" s="174"/>
      <c r="K1062" s="173"/>
      <c r="L1062" s="173"/>
    </row>
    <row r="1063" spans="4:12" s="170" customFormat="1" x14ac:dyDescent="0.2">
      <c r="D1063" s="173"/>
      <c r="E1063" s="173"/>
      <c r="F1063" s="173"/>
      <c r="G1063" s="173"/>
      <c r="J1063" s="174"/>
      <c r="K1063" s="173"/>
      <c r="L1063" s="173"/>
    </row>
    <row r="1064" spans="4:12" s="170" customFormat="1" x14ac:dyDescent="0.2">
      <c r="D1064" s="173"/>
      <c r="E1064" s="173"/>
      <c r="F1064" s="173"/>
      <c r="G1064" s="173"/>
      <c r="J1064" s="174"/>
      <c r="K1064" s="173"/>
      <c r="L1064" s="173"/>
    </row>
    <row r="1065" spans="4:12" s="170" customFormat="1" x14ac:dyDescent="0.2">
      <c r="D1065" s="173"/>
      <c r="E1065" s="173"/>
      <c r="F1065" s="173"/>
      <c r="G1065" s="173"/>
      <c r="J1065" s="174"/>
      <c r="K1065" s="173"/>
      <c r="L1065" s="173"/>
    </row>
    <row r="1066" spans="4:12" s="170" customFormat="1" x14ac:dyDescent="0.2">
      <c r="D1066" s="173"/>
      <c r="E1066" s="173"/>
      <c r="F1066" s="173"/>
      <c r="G1066" s="173"/>
      <c r="J1066" s="174"/>
      <c r="K1066" s="173"/>
      <c r="L1066" s="173"/>
    </row>
    <row r="1067" spans="4:12" s="170" customFormat="1" x14ac:dyDescent="0.2">
      <c r="D1067" s="173"/>
      <c r="E1067" s="173"/>
      <c r="F1067" s="173"/>
      <c r="G1067" s="173"/>
      <c r="J1067" s="174"/>
      <c r="K1067" s="173"/>
      <c r="L1067" s="173"/>
    </row>
    <row r="1068" spans="4:12" s="170" customFormat="1" x14ac:dyDescent="0.2">
      <c r="D1068" s="173"/>
      <c r="E1068" s="173"/>
      <c r="F1068" s="173"/>
      <c r="G1068" s="173"/>
      <c r="J1068" s="174"/>
      <c r="K1068" s="173"/>
      <c r="L1068" s="173"/>
    </row>
    <row r="1069" spans="4:12" s="170" customFormat="1" x14ac:dyDescent="0.2">
      <c r="D1069" s="173"/>
      <c r="E1069" s="173"/>
      <c r="F1069" s="173"/>
      <c r="G1069" s="173"/>
      <c r="J1069" s="174"/>
      <c r="K1069" s="173"/>
      <c r="L1069" s="173"/>
    </row>
    <row r="1070" spans="4:12" s="170" customFormat="1" x14ac:dyDescent="0.2">
      <c r="D1070" s="173"/>
      <c r="E1070" s="173"/>
      <c r="F1070" s="173"/>
      <c r="G1070" s="173"/>
      <c r="J1070" s="174"/>
      <c r="K1070" s="173"/>
      <c r="L1070" s="173"/>
    </row>
    <row r="1071" spans="4:12" s="170" customFormat="1" x14ac:dyDescent="0.2">
      <c r="D1071" s="173"/>
      <c r="E1071" s="173"/>
      <c r="F1071" s="173"/>
      <c r="G1071" s="173"/>
      <c r="J1071" s="174"/>
      <c r="K1071" s="173"/>
      <c r="L1071" s="173"/>
    </row>
    <row r="1072" spans="4:12" s="170" customFormat="1" x14ac:dyDescent="0.2">
      <c r="D1072" s="173"/>
      <c r="E1072" s="173"/>
      <c r="F1072" s="173"/>
      <c r="G1072" s="173"/>
      <c r="J1072" s="174"/>
      <c r="K1072" s="173"/>
      <c r="L1072" s="173"/>
    </row>
    <row r="1073" spans="4:12" s="170" customFormat="1" x14ac:dyDescent="0.2">
      <c r="D1073" s="173"/>
      <c r="E1073" s="173"/>
      <c r="F1073" s="173"/>
      <c r="G1073" s="173"/>
      <c r="J1073" s="174"/>
      <c r="K1073" s="173"/>
      <c r="L1073" s="173"/>
    </row>
    <row r="1074" spans="4:12" s="170" customFormat="1" x14ac:dyDescent="0.2">
      <c r="D1074" s="173"/>
      <c r="E1074" s="173"/>
      <c r="F1074" s="173"/>
      <c r="G1074" s="173"/>
      <c r="J1074" s="174"/>
      <c r="K1074" s="173"/>
      <c r="L1074" s="173"/>
    </row>
    <row r="1075" spans="4:12" s="170" customFormat="1" x14ac:dyDescent="0.2">
      <c r="D1075" s="173"/>
      <c r="E1075" s="173"/>
      <c r="F1075" s="173"/>
      <c r="G1075" s="173"/>
      <c r="J1075" s="174"/>
      <c r="K1075" s="173"/>
      <c r="L1075" s="173"/>
    </row>
    <row r="1076" spans="4:12" s="170" customFormat="1" x14ac:dyDescent="0.2">
      <c r="D1076" s="173"/>
      <c r="E1076" s="173"/>
      <c r="F1076" s="173"/>
      <c r="G1076" s="173"/>
      <c r="J1076" s="174"/>
      <c r="K1076" s="173"/>
      <c r="L1076" s="173"/>
    </row>
    <row r="1077" spans="4:12" s="170" customFormat="1" x14ac:dyDescent="0.2">
      <c r="D1077" s="173"/>
      <c r="E1077" s="173"/>
      <c r="F1077" s="173"/>
      <c r="G1077" s="173"/>
      <c r="J1077" s="174"/>
      <c r="K1077" s="173"/>
      <c r="L1077" s="173"/>
    </row>
    <row r="1078" spans="4:12" s="170" customFormat="1" x14ac:dyDescent="0.2">
      <c r="D1078" s="173"/>
      <c r="E1078" s="173"/>
      <c r="F1078" s="173"/>
      <c r="G1078" s="173"/>
      <c r="J1078" s="174"/>
      <c r="K1078" s="173"/>
      <c r="L1078" s="173"/>
    </row>
    <row r="1079" spans="4:12" s="170" customFormat="1" x14ac:dyDescent="0.2">
      <c r="D1079" s="173"/>
      <c r="E1079" s="173"/>
      <c r="F1079" s="173"/>
      <c r="G1079" s="173"/>
      <c r="J1079" s="174"/>
      <c r="K1079" s="173"/>
      <c r="L1079" s="173"/>
    </row>
    <row r="1080" spans="4:12" s="170" customFormat="1" x14ac:dyDescent="0.2">
      <c r="D1080" s="173"/>
      <c r="E1080" s="173"/>
      <c r="F1080" s="173"/>
      <c r="G1080" s="173"/>
      <c r="J1080" s="174"/>
      <c r="K1080" s="173"/>
      <c r="L1080" s="173"/>
    </row>
    <row r="1081" spans="4:12" s="170" customFormat="1" x14ac:dyDescent="0.2">
      <c r="D1081" s="173"/>
      <c r="E1081" s="173"/>
      <c r="F1081" s="173"/>
      <c r="G1081" s="173"/>
      <c r="J1081" s="174"/>
      <c r="K1081" s="173"/>
      <c r="L1081" s="173"/>
    </row>
    <row r="1082" spans="4:12" s="170" customFormat="1" x14ac:dyDescent="0.2">
      <c r="D1082" s="173"/>
      <c r="E1082" s="173"/>
      <c r="F1082" s="173"/>
      <c r="G1082" s="173"/>
      <c r="J1082" s="174"/>
      <c r="K1082" s="173"/>
      <c r="L1082" s="173"/>
    </row>
    <row r="1083" spans="4:12" s="170" customFormat="1" x14ac:dyDescent="0.2">
      <c r="D1083" s="173"/>
      <c r="E1083" s="173"/>
      <c r="F1083" s="173"/>
      <c r="G1083" s="173"/>
      <c r="J1083" s="174"/>
      <c r="K1083" s="173"/>
      <c r="L1083" s="173"/>
    </row>
    <row r="1084" spans="4:12" s="170" customFormat="1" x14ac:dyDescent="0.2">
      <c r="D1084" s="173"/>
      <c r="E1084" s="173"/>
      <c r="F1084" s="173"/>
      <c r="G1084" s="173"/>
      <c r="J1084" s="174"/>
      <c r="K1084" s="173"/>
      <c r="L1084" s="173"/>
    </row>
    <row r="1085" spans="4:12" s="170" customFormat="1" x14ac:dyDescent="0.2">
      <c r="D1085" s="173"/>
      <c r="E1085" s="173"/>
      <c r="F1085" s="173"/>
      <c r="G1085" s="173"/>
      <c r="J1085" s="174"/>
      <c r="K1085" s="173"/>
      <c r="L1085" s="173"/>
    </row>
    <row r="1086" spans="4:12" s="170" customFormat="1" x14ac:dyDescent="0.2">
      <c r="D1086" s="173"/>
      <c r="E1086" s="173"/>
      <c r="F1086" s="173"/>
      <c r="G1086" s="173"/>
      <c r="J1086" s="174"/>
      <c r="K1086" s="173"/>
      <c r="L1086" s="173"/>
    </row>
    <row r="1087" spans="4:12" s="170" customFormat="1" x14ac:dyDescent="0.2">
      <c r="D1087" s="173"/>
      <c r="E1087" s="173"/>
      <c r="F1087" s="173"/>
      <c r="G1087" s="173"/>
      <c r="J1087" s="174"/>
      <c r="K1087" s="173"/>
      <c r="L1087" s="173"/>
    </row>
    <row r="1088" spans="4:12" s="170" customFormat="1" x14ac:dyDescent="0.2">
      <c r="D1088" s="173"/>
      <c r="E1088" s="173"/>
      <c r="F1088" s="173"/>
      <c r="G1088" s="173"/>
      <c r="J1088" s="174"/>
      <c r="K1088" s="173"/>
      <c r="L1088" s="173"/>
    </row>
    <row r="1089" spans="4:12" s="170" customFormat="1" x14ac:dyDescent="0.2">
      <c r="D1089" s="173"/>
      <c r="E1089" s="173"/>
      <c r="F1089" s="173"/>
      <c r="G1089" s="173"/>
      <c r="J1089" s="174"/>
      <c r="K1089" s="173"/>
      <c r="L1089" s="173"/>
    </row>
    <row r="1090" spans="4:12" s="170" customFormat="1" x14ac:dyDescent="0.2">
      <c r="D1090" s="173"/>
      <c r="E1090" s="173"/>
      <c r="F1090" s="173"/>
      <c r="G1090" s="173"/>
      <c r="J1090" s="174"/>
      <c r="K1090" s="173"/>
      <c r="L1090" s="173"/>
    </row>
    <row r="1091" spans="4:12" s="170" customFormat="1" x14ac:dyDescent="0.2">
      <c r="D1091" s="173"/>
      <c r="E1091" s="173"/>
      <c r="F1091" s="173"/>
      <c r="G1091" s="173"/>
      <c r="J1091" s="174"/>
      <c r="K1091" s="173"/>
      <c r="L1091" s="173"/>
    </row>
    <row r="1092" spans="4:12" s="170" customFormat="1" x14ac:dyDescent="0.2">
      <c r="D1092" s="173"/>
      <c r="E1092" s="173"/>
      <c r="F1092" s="173"/>
      <c r="G1092" s="173"/>
      <c r="J1092" s="174"/>
      <c r="K1092" s="173"/>
      <c r="L1092" s="173"/>
    </row>
    <row r="1093" spans="4:12" s="170" customFormat="1" x14ac:dyDescent="0.2">
      <c r="D1093" s="173"/>
      <c r="E1093" s="173"/>
      <c r="F1093" s="173"/>
      <c r="G1093" s="173"/>
      <c r="J1093" s="174"/>
      <c r="K1093" s="173"/>
      <c r="L1093" s="173"/>
    </row>
    <row r="1094" spans="4:12" s="170" customFormat="1" x14ac:dyDescent="0.2">
      <c r="D1094" s="173"/>
      <c r="E1094" s="173"/>
      <c r="F1094" s="173"/>
      <c r="G1094" s="173"/>
      <c r="J1094" s="174"/>
      <c r="K1094" s="173"/>
      <c r="L1094" s="173"/>
    </row>
    <row r="1095" spans="4:12" s="170" customFormat="1" x14ac:dyDescent="0.2">
      <c r="D1095" s="173"/>
      <c r="E1095" s="173"/>
      <c r="F1095" s="173"/>
      <c r="G1095" s="173"/>
      <c r="J1095" s="174"/>
      <c r="K1095" s="173"/>
      <c r="L1095" s="173"/>
    </row>
    <row r="1096" spans="4:12" s="170" customFormat="1" x14ac:dyDescent="0.2">
      <c r="D1096" s="173"/>
      <c r="E1096" s="173"/>
      <c r="F1096" s="173"/>
      <c r="G1096" s="173"/>
      <c r="J1096" s="174"/>
      <c r="K1096" s="173"/>
      <c r="L1096" s="173"/>
    </row>
    <row r="1097" spans="4:12" s="170" customFormat="1" x14ac:dyDescent="0.2">
      <c r="D1097" s="173"/>
      <c r="E1097" s="173"/>
      <c r="F1097" s="173"/>
      <c r="G1097" s="173"/>
      <c r="J1097" s="174"/>
      <c r="K1097" s="173"/>
      <c r="L1097" s="173"/>
    </row>
    <row r="1098" spans="4:12" s="170" customFormat="1" x14ac:dyDescent="0.2">
      <c r="D1098" s="173"/>
      <c r="E1098" s="173"/>
      <c r="F1098" s="173"/>
      <c r="G1098" s="173"/>
      <c r="J1098" s="174"/>
      <c r="K1098" s="173"/>
      <c r="L1098" s="173"/>
    </row>
    <row r="1099" spans="4:12" s="170" customFormat="1" x14ac:dyDescent="0.2">
      <c r="D1099" s="173"/>
      <c r="E1099" s="173"/>
      <c r="F1099" s="173"/>
      <c r="G1099" s="173"/>
      <c r="J1099" s="174"/>
      <c r="K1099" s="173"/>
      <c r="L1099" s="173"/>
    </row>
    <row r="1100" spans="4:12" s="170" customFormat="1" x14ac:dyDescent="0.2">
      <c r="D1100" s="173"/>
      <c r="E1100" s="173"/>
      <c r="F1100" s="173"/>
      <c r="G1100" s="173"/>
      <c r="J1100" s="174"/>
      <c r="K1100" s="173"/>
      <c r="L1100" s="173"/>
    </row>
    <row r="1101" spans="4:12" s="170" customFormat="1" x14ac:dyDescent="0.2">
      <c r="D1101" s="173"/>
      <c r="E1101" s="173"/>
      <c r="F1101" s="173"/>
      <c r="G1101" s="173"/>
      <c r="J1101" s="174"/>
      <c r="K1101" s="173"/>
      <c r="L1101" s="173"/>
    </row>
    <row r="1102" spans="4:12" s="170" customFormat="1" x14ac:dyDescent="0.2">
      <c r="D1102" s="173"/>
      <c r="E1102" s="173"/>
      <c r="F1102" s="173"/>
      <c r="G1102" s="173"/>
      <c r="J1102" s="174"/>
      <c r="K1102" s="173"/>
      <c r="L1102" s="173"/>
    </row>
    <row r="1103" spans="4:12" s="170" customFormat="1" x14ac:dyDescent="0.2">
      <c r="D1103" s="173"/>
      <c r="E1103" s="173"/>
      <c r="F1103" s="173"/>
      <c r="G1103" s="173"/>
      <c r="J1103" s="174"/>
      <c r="K1103" s="173"/>
      <c r="L1103" s="173"/>
    </row>
    <row r="1104" spans="4:12" s="170" customFormat="1" x14ac:dyDescent="0.2">
      <c r="D1104" s="173"/>
      <c r="E1104" s="173"/>
      <c r="F1104" s="173"/>
      <c r="G1104" s="173"/>
      <c r="J1104" s="174"/>
      <c r="K1104" s="173"/>
      <c r="L1104" s="173"/>
    </row>
    <row r="1105" spans="4:12" s="170" customFormat="1" x14ac:dyDescent="0.2">
      <c r="D1105" s="173"/>
      <c r="E1105" s="173"/>
      <c r="F1105" s="173"/>
      <c r="G1105" s="173"/>
      <c r="J1105" s="174"/>
      <c r="K1105" s="173"/>
      <c r="L1105" s="173"/>
    </row>
    <row r="1106" spans="4:12" s="170" customFormat="1" x14ac:dyDescent="0.2">
      <c r="D1106" s="173"/>
      <c r="E1106" s="173"/>
      <c r="F1106" s="173"/>
      <c r="G1106" s="173"/>
      <c r="J1106" s="174"/>
      <c r="K1106" s="173"/>
      <c r="L1106" s="173"/>
    </row>
    <row r="1107" spans="4:12" s="170" customFormat="1" x14ac:dyDescent="0.2">
      <c r="D1107" s="173"/>
      <c r="E1107" s="173"/>
      <c r="F1107" s="173"/>
      <c r="G1107" s="173"/>
      <c r="J1107" s="174"/>
      <c r="K1107" s="173"/>
      <c r="L1107" s="173"/>
    </row>
    <row r="1108" spans="4:12" s="170" customFormat="1" x14ac:dyDescent="0.2">
      <c r="D1108" s="173"/>
      <c r="E1108" s="173"/>
      <c r="F1108" s="173"/>
      <c r="G1108" s="173"/>
      <c r="J1108" s="174"/>
      <c r="K1108" s="173"/>
      <c r="L1108" s="173"/>
    </row>
    <row r="1109" spans="4:12" s="170" customFormat="1" x14ac:dyDescent="0.2">
      <c r="D1109" s="173"/>
      <c r="E1109" s="173"/>
      <c r="F1109" s="173"/>
      <c r="G1109" s="173"/>
      <c r="J1109" s="174"/>
      <c r="K1109" s="173"/>
      <c r="L1109" s="173"/>
    </row>
    <row r="1110" spans="4:12" s="170" customFormat="1" x14ac:dyDescent="0.2">
      <c r="D1110" s="173"/>
      <c r="E1110" s="173"/>
      <c r="F1110" s="173"/>
      <c r="G1110" s="173"/>
      <c r="J1110" s="174"/>
      <c r="K1110" s="173"/>
      <c r="L1110" s="173"/>
    </row>
    <row r="1111" spans="4:12" s="170" customFormat="1" x14ac:dyDescent="0.2">
      <c r="D1111" s="173"/>
      <c r="E1111" s="173"/>
      <c r="F1111" s="173"/>
      <c r="G1111" s="173"/>
      <c r="J1111" s="174"/>
      <c r="K1111" s="173"/>
      <c r="L1111" s="173"/>
    </row>
    <row r="1112" spans="4:12" s="170" customFormat="1" x14ac:dyDescent="0.2">
      <c r="D1112" s="173"/>
      <c r="E1112" s="173"/>
      <c r="F1112" s="173"/>
      <c r="G1112" s="173"/>
      <c r="J1112" s="174"/>
      <c r="K1112" s="173"/>
      <c r="L1112" s="173"/>
    </row>
    <row r="1113" spans="4:12" s="170" customFormat="1" x14ac:dyDescent="0.2">
      <c r="D1113" s="173"/>
      <c r="E1113" s="173"/>
      <c r="F1113" s="173"/>
      <c r="G1113" s="173"/>
      <c r="J1113" s="174"/>
      <c r="K1113" s="173"/>
      <c r="L1113" s="173"/>
    </row>
    <row r="1114" spans="4:12" s="170" customFormat="1" x14ac:dyDescent="0.2">
      <c r="D1114" s="173"/>
      <c r="E1114" s="173"/>
      <c r="F1114" s="173"/>
      <c r="G1114" s="173"/>
      <c r="J1114" s="174"/>
      <c r="K1114" s="173"/>
      <c r="L1114" s="173"/>
    </row>
    <row r="1115" spans="4:12" s="170" customFormat="1" x14ac:dyDescent="0.2">
      <c r="D1115" s="173"/>
      <c r="E1115" s="173"/>
      <c r="F1115" s="173"/>
      <c r="G1115" s="173"/>
      <c r="J1115" s="174"/>
      <c r="K1115" s="173"/>
      <c r="L1115" s="173"/>
    </row>
    <row r="1116" spans="4:12" s="170" customFormat="1" x14ac:dyDescent="0.2">
      <c r="D1116" s="173"/>
      <c r="E1116" s="173"/>
      <c r="F1116" s="173"/>
      <c r="G1116" s="173"/>
      <c r="J1116" s="174"/>
      <c r="K1116" s="173"/>
      <c r="L1116" s="173"/>
    </row>
    <row r="1117" spans="4:12" s="170" customFormat="1" x14ac:dyDescent="0.2">
      <c r="D1117" s="173"/>
      <c r="E1117" s="173"/>
      <c r="F1117" s="173"/>
      <c r="G1117" s="173"/>
      <c r="J1117" s="174"/>
      <c r="K1117" s="173"/>
      <c r="L1117" s="173"/>
    </row>
    <row r="1118" spans="4:12" s="170" customFormat="1" x14ac:dyDescent="0.2">
      <c r="D1118" s="173"/>
      <c r="E1118" s="173"/>
      <c r="F1118" s="173"/>
      <c r="G1118" s="173"/>
      <c r="J1118" s="174"/>
      <c r="K1118" s="173"/>
      <c r="L1118" s="173"/>
    </row>
    <row r="1119" spans="4:12" s="170" customFormat="1" x14ac:dyDescent="0.2">
      <c r="D1119" s="173"/>
      <c r="E1119" s="173"/>
      <c r="F1119" s="173"/>
      <c r="G1119" s="173"/>
      <c r="J1119" s="174"/>
      <c r="K1119" s="173"/>
      <c r="L1119" s="173"/>
    </row>
    <row r="1120" spans="4:12" s="170" customFormat="1" x14ac:dyDescent="0.2">
      <c r="D1120" s="173"/>
      <c r="E1120" s="173"/>
      <c r="F1120" s="173"/>
      <c r="G1120" s="173"/>
      <c r="J1120" s="174"/>
      <c r="K1120" s="173"/>
      <c r="L1120" s="173"/>
    </row>
    <row r="1121" spans="4:12" s="170" customFormat="1" x14ac:dyDescent="0.2">
      <c r="D1121" s="173"/>
      <c r="E1121" s="173"/>
      <c r="F1121" s="173"/>
      <c r="G1121" s="173"/>
      <c r="J1121" s="174"/>
      <c r="K1121" s="173"/>
      <c r="L1121" s="173"/>
    </row>
    <row r="1122" spans="4:12" s="170" customFormat="1" x14ac:dyDescent="0.2">
      <c r="D1122" s="173"/>
      <c r="E1122" s="173"/>
      <c r="F1122" s="173"/>
      <c r="G1122" s="173"/>
      <c r="J1122" s="174"/>
      <c r="K1122" s="173"/>
      <c r="L1122" s="173"/>
    </row>
    <row r="1123" spans="4:12" s="170" customFormat="1" x14ac:dyDescent="0.2">
      <c r="D1123" s="173"/>
      <c r="E1123" s="173"/>
      <c r="F1123" s="173"/>
      <c r="G1123" s="173"/>
      <c r="J1123" s="174"/>
      <c r="K1123" s="173"/>
      <c r="L1123" s="173"/>
    </row>
    <row r="1124" spans="4:12" s="170" customFormat="1" x14ac:dyDescent="0.2">
      <c r="D1124" s="173"/>
      <c r="E1124" s="173"/>
      <c r="F1124" s="173"/>
      <c r="G1124" s="173"/>
      <c r="J1124" s="174"/>
      <c r="K1124" s="173"/>
      <c r="L1124" s="173"/>
    </row>
    <row r="1125" spans="4:12" s="170" customFormat="1" x14ac:dyDescent="0.2">
      <c r="D1125" s="173"/>
      <c r="E1125" s="173"/>
      <c r="F1125" s="173"/>
      <c r="G1125" s="173"/>
      <c r="J1125" s="174"/>
      <c r="K1125" s="173"/>
      <c r="L1125" s="173"/>
    </row>
    <row r="1126" spans="4:12" s="170" customFormat="1" x14ac:dyDescent="0.2">
      <c r="D1126" s="173"/>
      <c r="E1126" s="173"/>
      <c r="F1126" s="173"/>
      <c r="G1126" s="173"/>
      <c r="J1126" s="174"/>
      <c r="K1126" s="173"/>
      <c r="L1126" s="173"/>
    </row>
    <row r="1127" spans="4:12" s="170" customFormat="1" x14ac:dyDescent="0.2">
      <c r="D1127" s="173"/>
      <c r="E1127" s="173"/>
      <c r="F1127" s="173"/>
      <c r="G1127" s="173"/>
      <c r="J1127" s="174"/>
      <c r="K1127" s="173"/>
      <c r="L1127" s="173"/>
    </row>
    <row r="1128" spans="4:12" s="170" customFormat="1" x14ac:dyDescent="0.2">
      <c r="D1128" s="173"/>
      <c r="E1128" s="173"/>
      <c r="F1128" s="173"/>
      <c r="G1128" s="173"/>
      <c r="J1128" s="174"/>
      <c r="K1128" s="173"/>
      <c r="L1128" s="173"/>
    </row>
    <row r="1129" spans="4:12" s="170" customFormat="1" x14ac:dyDescent="0.2">
      <c r="D1129" s="173"/>
      <c r="E1129" s="173"/>
      <c r="F1129" s="173"/>
      <c r="G1129" s="173"/>
      <c r="J1129" s="174"/>
      <c r="K1129" s="173"/>
      <c r="L1129" s="173"/>
    </row>
    <row r="1130" spans="4:12" s="170" customFormat="1" x14ac:dyDescent="0.2">
      <c r="D1130" s="173"/>
      <c r="E1130" s="173"/>
      <c r="F1130" s="173"/>
      <c r="G1130" s="173"/>
      <c r="J1130" s="174"/>
      <c r="K1130" s="173"/>
      <c r="L1130" s="173"/>
    </row>
    <row r="1131" spans="4:12" s="170" customFormat="1" x14ac:dyDescent="0.2">
      <c r="D1131" s="173"/>
      <c r="E1131" s="173"/>
      <c r="F1131" s="173"/>
      <c r="G1131" s="173"/>
      <c r="J1131" s="174"/>
      <c r="K1131" s="173"/>
      <c r="L1131" s="173"/>
    </row>
    <row r="1132" spans="4:12" s="170" customFormat="1" x14ac:dyDescent="0.2">
      <c r="D1132" s="173"/>
      <c r="E1132" s="173"/>
      <c r="F1132" s="173"/>
      <c r="G1132" s="173"/>
      <c r="J1132" s="174"/>
      <c r="K1132" s="173"/>
      <c r="L1132" s="173"/>
    </row>
    <row r="1133" spans="4:12" s="170" customFormat="1" x14ac:dyDescent="0.2">
      <c r="D1133" s="173"/>
      <c r="E1133" s="173"/>
      <c r="F1133" s="173"/>
      <c r="G1133" s="173"/>
      <c r="J1133" s="174"/>
      <c r="K1133" s="173"/>
      <c r="L1133" s="173"/>
    </row>
    <row r="1134" spans="4:12" s="170" customFormat="1" x14ac:dyDescent="0.2">
      <c r="D1134" s="173"/>
      <c r="E1134" s="173"/>
      <c r="F1134" s="173"/>
      <c r="G1134" s="173"/>
      <c r="J1134" s="174"/>
      <c r="K1134" s="173"/>
      <c r="L1134" s="173"/>
    </row>
    <row r="1135" spans="4:12" s="170" customFormat="1" x14ac:dyDescent="0.2">
      <c r="D1135" s="173"/>
      <c r="E1135" s="173"/>
      <c r="F1135" s="173"/>
      <c r="G1135" s="173"/>
      <c r="J1135" s="174"/>
      <c r="K1135" s="173"/>
      <c r="L1135" s="173"/>
    </row>
    <row r="1136" spans="4:12" s="170" customFormat="1" x14ac:dyDescent="0.2">
      <c r="D1136" s="173"/>
      <c r="E1136" s="173"/>
      <c r="F1136" s="173"/>
      <c r="G1136" s="173"/>
      <c r="J1136" s="174"/>
      <c r="K1136" s="173"/>
      <c r="L1136" s="173"/>
    </row>
    <row r="1137" spans="4:12" s="170" customFormat="1" x14ac:dyDescent="0.2">
      <c r="D1137" s="173"/>
      <c r="E1137" s="173"/>
      <c r="F1137" s="173"/>
      <c r="G1137" s="173"/>
      <c r="J1137" s="174"/>
      <c r="K1137" s="173"/>
      <c r="L1137" s="173"/>
    </row>
    <row r="1138" spans="4:12" s="170" customFormat="1" x14ac:dyDescent="0.2">
      <c r="D1138" s="173"/>
      <c r="E1138" s="173"/>
      <c r="F1138" s="173"/>
      <c r="G1138" s="173"/>
      <c r="J1138" s="174"/>
      <c r="K1138" s="173"/>
      <c r="L1138" s="173"/>
    </row>
    <row r="1139" spans="4:12" s="170" customFormat="1" x14ac:dyDescent="0.2">
      <c r="D1139" s="173"/>
      <c r="E1139" s="173"/>
      <c r="F1139" s="173"/>
      <c r="G1139" s="173"/>
      <c r="J1139" s="174"/>
      <c r="K1139" s="173"/>
      <c r="L1139" s="173"/>
    </row>
    <row r="1140" spans="4:12" s="170" customFormat="1" x14ac:dyDescent="0.2">
      <c r="D1140" s="173"/>
      <c r="E1140" s="173"/>
      <c r="F1140" s="173"/>
      <c r="G1140" s="173"/>
      <c r="J1140" s="174"/>
      <c r="K1140" s="173"/>
      <c r="L1140" s="173"/>
    </row>
    <row r="1141" spans="4:12" s="170" customFormat="1" x14ac:dyDescent="0.2">
      <c r="D1141" s="173"/>
      <c r="E1141" s="173"/>
      <c r="F1141" s="173"/>
      <c r="G1141" s="173"/>
      <c r="J1141" s="174"/>
      <c r="K1141" s="173"/>
      <c r="L1141" s="173"/>
    </row>
    <row r="1142" spans="4:12" s="170" customFormat="1" x14ac:dyDescent="0.2">
      <c r="D1142" s="173"/>
      <c r="E1142" s="173"/>
      <c r="F1142" s="173"/>
      <c r="G1142" s="173"/>
      <c r="J1142" s="174"/>
      <c r="K1142" s="173"/>
      <c r="L1142" s="173"/>
    </row>
    <row r="1143" spans="4:12" s="170" customFormat="1" x14ac:dyDescent="0.2">
      <c r="D1143" s="173"/>
      <c r="E1143" s="173"/>
      <c r="F1143" s="173"/>
      <c r="G1143" s="173"/>
      <c r="J1143" s="174"/>
      <c r="K1143" s="173"/>
      <c r="L1143" s="173"/>
    </row>
    <row r="1144" spans="4:12" s="170" customFormat="1" x14ac:dyDescent="0.2">
      <c r="D1144" s="173"/>
      <c r="E1144" s="173"/>
      <c r="F1144" s="173"/>
      <c r="G1144" s="173"/>
      <c r="J1144" s="174"/>
      <c r="K1144" s="173"/>
      <c r="L1144" s="173"/>
    </row>
    <row r="1145" spans="4:12" s="170" customFormat="1" x14ac:dyDescent="0.2">
      <c r="D1145" s="173"/>
      <c r="E1145" s="173"/>
      <c r="F1145" s="173"/>
      <c r="G1145" s="173"/>
      <c r="J1145" s="174"/>
      <c r="K1145" s="173"/>
      <c r="L1145" s="173"/>
    </row>
    <row r="1146" spans="4:12" s="170" customFormat="1" x14ac:dyDescent="0.2">
      <c r="D1146" s="173"/>
      <c r="E1146" s="173"/>
      <c r="F1146" s="173"/>
      <c r="G1146" s="173"/>
      <c r="J1146" s="174"/>
      <c r="K1146" s="173"/>
      <c r="L1146" s="173"/>
    </row>
    <row r="1147" spans="4:12" s="170" customFormat="1" x14ac:dyDescent="0.2">
      <c r="D1147" s="173"/>
      <c r="E1147" s="173"/>
      <c r="F1147" s="173"/>
      <c r="G1147" s="173"/>
      <c r="J1147" s="174"/>
      <c r="K1147" s="173"/>
      <c r="L1147" s="173"/>
    </row>
    <row r="1148" spans="4:12" s="170" customFormat="1" x14ac:dyDescent="0.2">
      <c r="D1148" s="173"/>
      <c r="E1148" s="173"/>
      <c r="F1148" s="173"/>
      <c r="G1148" s="173"/>
      <c r="J1148" s="174"/>
      <c r="K1148" s="173"/>
      <c r="L1148" s="173"/>
    </row>
    <row r="1149" spans="4:12" s="170" customFormat="1" x14ac:dyDescent="0.2">
      <c r="D1149" s="173"/>
      <c r="E1149" s="173"/>
      <c r="F1149" s="173"/>
      <c r="G1149" s="173"/>
      <c r="J1149" s="174"/>
      <c r="K1149" s="173"/>
      <c r="L1149" s="173"/>
    </row>
    <row r="1150" spans="4:12" s="170" customFormat="1" x14ac:dyDescent="0.2">
      <c r="D1150" s="173"/>
      <c r="E1150" s="173"/>
      <c r="F1150" s="173"/>
      <c r="G1150" s="173"/>
      <c r="J1150" s="174"/>
      <c r="K1150" s="173"/>
      <c r="L1150" s="173"/>
    </row>
    <row r="1151" spans="4:12" s="170" customFormat="1" x14ac:dyDescent="0.2">
      <c r="D1151" s="173"/>
      <c r="E1151" s="173"/>
      <c r="F1151" s="173"/>
      <c r="G1151" s="173"/>
      <c r="J1151" s="174"/>
      <c r="K1151" s="173"/>
      <c r="L1151" s="173"/>
    </row>
    <row r="1152" spans="4:12" s="170" customFormat="1" x14ac:dyDescent="0.2">
      <c r="D1152" s="173"/>
      <c r="E1152" s="173"/>
      <c r="F1152" s="173"/>
      <c r="G1152" s="173"/>
      <c r="J1152" s="174"/>
      <c r="K1152" s="173"/>
      <c r="L1152" s="173"/>
    </row>
    <row r="1153" spans="4:12" s="170" customFormat="1" x14ac:dyDescent="0.2">
      <c r="D1153" s="173"/>
      <c r="E1153" s="173"/>
      <c r="F1153" s="173"/>
      <c r="G1153" s="173"/>
      <c r="J1153" s="174"/>
      <c r="K1153" s="173"/>
      <c r="L1153" s="173"/>
    </row>
    <row r="1154" spans="4:12" s="170" customFormat="1" x14ac:dyDescent="0.2">
      <c r="D1154" s="173"/>
      <c r="E1154" s="173"/>
      <c r="F1154" s="173"/>
      <c r="G1154" s="173"/>
      <c r="J1154" s="174"/>
      <c r="K1154" s="173"/>
      <c r="L1154" s="173"/>
    </row>
    <row r="1155" spans="4:12" s="170" customFormat="1" x14ac:dyDescent="0.2">
      <c r="D1155" s="173"/>
      <c r="E1155" s="173"/>
      <c r="F1155" s="173"/>
      <c r="G1155" s="173"/>
      <c r="J1155" s="174"/>
      <c r="K1155" s="173"/>
      <c r="L1155" s="173"/>
    </row>
    <row r="1156" spans="4:12" s="170" customFormat="1" x14ac:dyDescent="0.2">
      <c r="D1156" s="173"/>
      <c r="E1156" s="173"/>
      <c r="F1156" s="173"/>
      <c r="G1156" s="173"/>
      <c r="J1156" s="174"/>
      <c r="K1156" s="173"/>
      <c r="L1156" s="173"/>
    </row>
    <row r="1157" spans="4:12" s="170" customFormat="1" x14ac:dyDescent="0.2">
      <c r="D1157" s="173"/>
      <c r="E1157" s="173"/>
      <c r="F1157" s="173"/>
      <c r="G1157" s="173"/>
      <c r="J1157" s="174"/>
      <c r="K1157" s="173"/>
      <c r="L1157" s="173"/>
    </row>
    <row r="1158" spans="4:12" s="170" customFormat="1" x14ac:dyDescent="0.2">
      <c r="D1158" s="173"/>
      <c r="E1158" s="173"/>
      <c r="F1158" s="173"/>
      <c r="G1158" s="173"/>
      <c r="J1158" s="174"/>
      <c r="K1158" s="173"/>
      <c r="L1158" s="173"/>
    </row>
    <row r="1159" spans="4:12" s="170" customFormat="1" x14ac:dyDescent="0.2">
      <c r="D1159" s="173"/>
      <c r="E1159" s="173"/>
      <c r="F1159" s="173"/>
      <c r="G1159" s="173"/>
      <c r="J1159" s="174"/>
      <c r="K1159" s="173"/>
      <c r="L1159" s="173"/>
    </row>
    <row r="1160" spans="4:12" s="170" customFormat="1" x14ac:dyDescent="0.2">
      <c r="D1160" s="173"/>
      <c r="E1160" s="173"/>
      <c r="F1160" s="173"/>
      <c r="G1160" s="173"/>
      <c r="J1160" s="174"/>
      <c r="K1160" s="173"/>
      <c r="L1160" s="173"/>
    </row>
    <row r="1161" spans="4:12" s="170" customFormat="1" x14ac:dyDescent="0.2">
      <c r="D1161" s="173"/>
      <c r="E1161" s="173"/>
      <c r="F1161" s="173"/>
      <c r="G1161" s="173"/>
      <c r="J1161" s="174"/>
      <c r="K1161" s="173"/>
      <c r="L1161" s="173"/>
    </row>
    <row r="1162" spans="4:12" s="170" customFormat="1" x14ac:dyDescent="0.2">
      <c r="D1162" s="173"/>
      <c r="E1162" s="173"/>
      <c r="F1162" s="173"/>
      <c r="G1162" s="173"/>
      <c r="J1162" s="174"/>
      <c r="K1162" s="173"/>
      <c r="L1162" s="173"/>
    </row>
    <row r="1163" spans="4:12" s="170" customFormat="1" x14ac:dyDescent="0.2">
      <c r="D1163" s="173"/>
      <c r="E1163" s="173"/>
      <c r="F1163" s="173"/>
      <c r="G1163" s="173"/>
      <c r="J1163" s="174"/>
      <c r="K1163" s="173"/>
      <c r="L1163" s="173"/>
    </row>
    <row r="1164" spans="4:12" s="170" customFormat="1" x14ac:dyDescent="0.2">
      <c r="D1164" s="173"/>
      <c r="E1164" s="173"/>
      <c r="F1164" s="173"/>
      <c r="G1164" s="173"/>
      <c r="J1164" s="174"/>
      <c r="K1164" s="173"/>
      <c r="L1164" s="173"/>
    </row>
    <row r="1165" spans="4:12" s="170" customFormat="1" x14ac:dyDescent="0.2">
      <c r="D1165" s="173"/>
      <c r="E1165" s="173"/>
      <c r="F1165" s="173"/>
      <c r="G1165" s="173"/>
      <c r="J1165" s="174"/>
      <c r="K1165" s="173"/>
      <c r="L1165" s="173"/>
    </row>
    <row r="1166" spans="4:12" s="170" customFormat="1" x14ac:dyDescent="0.2">
      <c r="D1166" s="173"/>
      <c r="E1166" s="173"/>
      <c r="F1166" s="173"/>
      <c r="G1166" s="173"/>
      <c r="J1166" s="174"/>
      <c r="K1166" s="173"/>
      <c r="L1166" s="173"/>
    </row>
    <row r="1167" spans="4:12" s="170" customFormat="1" x14ac:dyDescent="0.2">
      <c r="D1167" s="173"/>
      <c r="E1167" s="173"/>
      <c r="F1167" s="173"/>
      <c r="G1167" s="173"/>
      <c r="J1167" s="174"/>
      <c r="K1167" s="173"/>
      <c r="L1167" s="173"/>
    </row>
    <row r="1168" spans="4:12" s="170" customFormat="1" x14ac:dyDescent="0.2">
      <c r="D1168" s="173"/>
      <c r="E1168" s="173"/>
      <c r="F1168" s="173"/>
      <c r="G1168" s="173"/>
      <c r="J1168" s="174"/>
      <c r="K1168" s="173"/>
      <c r="L1168" s="173"/>
    </row>
    <row r="1169" spans="4:12" s="170" customFormat="1" x14ac:dyDescent="0.2">
      <c r="D1169" s="173"/>
      <c r="E1169" s="173"/>
      <c r="F1169" s="173"/>
      <c r="G1169" s="173"/>
      <c r="J1169" s="174"/>
      <c r="K1169" s="173"/>
      <c r="L1169" s="173"/>
    </row>
    <row r="1170" spans="4:12" s="170" customFormat="1" x14ac:dyDescent="0.2">
      <c r="D1170" s="173"/>
      <c r="E1170" s="173"/>
      <c r="F1170" s="173"/>
      <c r="G1170" s="173"/>
      <c r="J1170" s="174"/>
      <c r="K1170" s="173"/>
      <c r="L1170" s="173"/>
    </row>
    <row r="1171" spans="4:12" s="170" customFormat="1" x14ac:dyDescent="0.2">
      <c r="D1171" s="173"/>
      <c r="E1171" s="173"/>
      <c r="F1171" s="173"/>
      <c r="G1171" s="173"/>
      <c r="J1171" s="174"/>
      <c r="K1171" s="173"/>
      <c r="L1171" s="173"/>
    </row>
    <row r="1172" spans="4:12" s="170" customFormat="1" x14ac:dyDescent="0.2">
      <c r="D1172" s="173"/>
      <c r="E1172" s="173"/>
      <c r="F1172" s="173"/>
      <c r="G1172" s="173"/>
      <c r="J1172" s="174"/>
      <c r="K1172" s="173"/>
      <c r="L1172" s="173"/>
    </row>
    <row r="1173" spans="4:12" s="170" customFormat="1" x14ac:dyDescent="0.2">
      <c r="D1173" s="173"/>
      <c r="E1173" s="173"/>
      <c r="F1173" s="173"/>
      <c r="G1173" s="173"/>
      <c r="J1173" s="174"/>
      <c r="K1173" s="173"/>
      <c r="L1173" s="173"/>
    </row>
    <row r="1174" spans="4:12" s="170" customFormat="1" x14ac:dyDescent="0.2">
      <c r="D1174" s="173"/>
      <c r="E1174" s="173"/>
      <c r="F1174" s="173"/>
      <c r="G1174" s="173"/>
      <c r="J1174" s="174"/>
      <c r="K1174" s="173"/>
      <c r="L1174" s="173"/>
    </row>
    <row r="1175" spans="4:12" s="170" customFormat="1" x14ac:dyDescent="0.2">
      <c r="D1175" s="173"/>
      <c r="E1175" s="173"/>
      <c r="F1175" s="173"/>
      <c r="G1175" s="173"/>
      <c r="J1175" s="174"/>
      <c r="K1175" s="173"/>
      <c r="L1175" s="173"/>
    </row>
    <row r="1176" spans="4:12" s="170" customFormat="1" x14ac:dyDescent="0.2">
      <c r="D1176" s="173"/>
      <c r="E1176" s="173"/>
      <c r="F1176" s="173"/>
      <c r="G1176" s="173"/>
      <c r="J1176" s="174"/>
      <c r="K1176" s="173"/>
      <c r="L1176" s="173"/>
    </row>
    <row r="1177" spans="4:12" s="170" customFormat="1" x14ac:dyDescent="0.2">
      <c r="D1177" s="173"/>
      <c r="E1177" s="173"/>
      <c r="F1177" s="173"/>
      <c r="G1177" s="173"/>
      <c r="J1177" s="174"/>
      <c r="K1177" s="173"/>
      <c r="L1177" s="173"/>
    </row>
    <row r="1178" spans="4:12" s="170" customFormat="1" x14ac:dyDescent="0.2">
      <c r="D1178" s="173"/>
      <c r="E1178" s="173"/>
      <c r="F1178" s="173"/>
      <c r="G1178" s="173"/>
      <c r="J1178" s="174"/>
      <c r="K1178" s="173"/>
      <c r="L1178" s="173"/>
    </row>
    <row r="1179" spans="4:12" s="170" customFormat="1" x14ac:dyDescent="0.2">
      <c r="D1179" s="173"/>
      <c r="E1179" s="173"/>
      <c r="F1179" s="173"/>
      <c r="G1179" s="173"/>
      <c r="J1179" s="174"/>
      <c r="K1179" s="173"/>
      <c r="L1179" s="173"/>
    </row>
    <row r="1180" spans="4:12" s="170" customFormat="1" x14ac:dyDescent="0.2">
      <c r="D1180" s="173"/>
      <c r="E1180" s="173"/>
      <c r="F1180" s="173"/>
      <c r="G1180" s="173"/>
      <c r="J1180" s="174"/>
      <c r="K1180" s="173"/>
      <c r="L1180" s="173"/>
    </row>
    <row r="1181" spans="4:12" s="170" customFormat="1" x14ac:dyDescent="0.2">
      <c r="D1181" s="173"/>
      <c r="E1181" s="173"/>
      <c r="F1181" s="173"/>
      <c r="G1181" s="173"/>
      <c r="J1181" s="174"/>
      <c r="K1181" s="173"/>
      <c r="L1181" s="173"/>
    </row>
    <row r="1182" spans="4:12" s="170" customFormat="1" x14ac:dyDescent="0.2">
      <c r="D1182" s="173"/>
      <c r="E1182" s="173"/>
      <c r="F1182" s="173"/>
      <c r="G1182" s="173"/>
      <c r="J1182" s="174"/>
      <c r="K1182" s="173"/>
      <c r="L1182" s="173"/>
    </row>
    <row r="1183" spans="4:12" s="170" customFormat="1" x14ac:dyDescent="0.2">
      <c r="D1183" s="173"/>
      <c r="E1183" s="173"/>
      <c r="F1183" s="173"/>
      <c r="G1183" s="173"/>
      <c r="J1183" s="174"/>
      <c r="K1183" s="173"/>
      <c r="L1183" s="173"/>
    </row>
    <row r="1184" spans="4:12" s="170" customFormat="1" x14ac:dyDescent="0.2">
      <c r="D1184" s="173"/>
      <c r="E1184" s="173"/>
      <c r="F1184" s="173"/>
      <c r="G1184" s="173"/>
      <c r="J1184" s="174"/>
      <c r="K1184" s="173"/>
      <c r="L1184" s="173"/>
    </row>
    <row r="1185" spans="4:12" s="170" customFormat="1" x14ac:dyDescent="0.2">
      <c r="D1185" s="173"/>
      <c r="E1185" s="173"/>
      <c r="F1185" s="173"/>
      <c r="G1185" s="173"/>
      <c r="J1185" s="174"/>
      <c r="K1185" s="173"/>
      <c r="L1185" s="173"/>
    </row>
    <row r="1186" spans="4:12" s="170" customFormat="1" x14ac:dyDescent="0.2">
      <c r="D1186" s="173"/>
      <c r="E1186" s="173"/>
      <c r="F1186" s="173"/>
      <c r="G1186" s="173"/>
      <c r="J1186" s="174"/>
      <c r="K1186" s="173"/>
      <c r="L1186" s="173"/>
    </row>
    <row r="1187" spans="4:12" s="170" customFormat="1" x14ac:dyDescent="0.2">
      <c r="D1187" s="173"/>
      <c r="E1187" s="173"/>
      <c r="F1187" s="173"/>
      <c r="G1187" s="173"/>
      <c r="J1187" s="174"/>
      <c r="K1187" s="173"/>
      <c r="L1187" s="173"/>
    </row>
    <row r="1188" spans="4:12" s="170" customFormat="1" x14ac:dyDescent="0.2">
      <c r="D1188" s="173"/>
      <c r="E1188" s="173"/>
      <c r="F1188" s="173"/>
      <c r="G1188" s="173"/>
      <c r="J1188" s="174"/>
      <c r="K1188" s="173"/>
      <c r="L1188" s="173"/>
    </row>
    <row r="1189" spans="4:12" s="170" customFormat="1" x14ac:dyDescent="0.2">
      <c r="D1189" s="173"/>
      <c r="E1189" s="173"/>
      <c r="F1189" s="173"/>
      <c r="G1189" s="173"/>
      <c r="J1189" s="174"/>
      <c r="K1189" s="173"/>
      <c r="L1189" s="173"/>
    </row>
    <row r="1190" spans="4:12" s="170" customFormat="1" x14ac:dyDescent="0.2">
      <c r="D1190" s="173"/>
      <c r="E1190" s="173"/>
      <c r="F1190" s="173"/>
      <c r="G1190" s="173"/>
      <c r="J1190" s="174"/>
      <c r="K1190" s="173"/>
      <c r="L1190" s="173"/>
    </row>
    <row r="1191" spans="4:12" s="170" customFormat="1" x14ac:dyDescent="0.2">
      <c r="D1191" s="173"/>
      <c r="E1191" s="173"/>
      <c r="F1191" s="173"/>
      <c r="G1191" s="173"/>
      <c r="J1191" s="174"/>
      <c r="K1191" s="173"/>
      <c r="L1191" s="173"/>
    </row>
    <row r="1192" spans="4:12" s="170" customFormat="1" x14ac:dyDescent="0.2">
      <c r="D1192" s="173"/>
      <c r="E1192" s="173"/>
      <c r="F1192" s="173"/>
      <c r="G1192" s="173"/>
      <c r="J1192" s="174"/>
      <c r="K1192" s="173"/>
      <c r="L1192" s="173"/>
    </row>
    <row r="1193" spans="4:12" s="170" customFormat="1" x14ac:dyDescent="0.2">
      <c r="D1193" s="173"/>
      <c r="E1193" s="173"/>
      <c r="F1193" s="173"/>
      <c r="G1193" s="173"/>
      <c r="J1193" s="174"/>
      <c r="K1193" s="173"/>
      <c r="L1193" s="173"/>
    </row>
    <row r="1194" spans="4:12" s="170" customFormat="1" x14ac:dyDescent="0.2">
      <c r="D1194" s="173"/>
      <c r="E1194" s="173"/>
      <c r="F1194" s="173"/>
      <c r="G1194" s="173"/>
      <c r="J1194" s="174"/>
      <c r="K1194" s="173"/>
      <c r="L1194" s="173"/>
    </row>
    <row r="1195" spans="4:12" s="170" customFormat="1" x14ac:dyDescent="0.2">
      <c r="D1195" s="173"/>
      <c r="E1195" s="173"/>
      <c r="F1195" s="173"/>
      <c r="G1195" s="173"/>
      <c r="J1195" s="174"/>
      <c r="K1195" s="173"/>
      <c r="L1195" s="173"/>
    </row>
    <row r="1196" spans="4:12" s="170" customFormat="1" x14ac:dyDescent="0.2">
      <c r="D1196" s="173"/>
      <c r="E1196" s="173"/>
      <c r="F1196" s="173"/>
      <c r="G1196" s="173"/>
      <c r="J1196" s="174"/>
      <c r="K1196" s="173"/>
      <c r="L1196" s="173"/>
    </row>
    <row r="1197" spans="4:12" s="170" customFormat="1" x14ac:dyDescent="0.2">
      <c r="D1197" s="173"/>
      <c r="E1197" s="173"/>
      <c r="F1197" s="173"/>
      <c r="G1197" s="173"/>
      <c r="J1197" s="174"/>
      <c r="K1197" s="173"/>
      <c r="L1197" s="173"/>
    </row>
    <row r="1198" spans="4:12" s="170" customFormat="1" x14ac:dyDescent="0.2">
      <c r="D1198" s="173"/>
      <c r="E1198" s="173"/>
      <c r="F1198" s="173"/>
      <c r="G1198" s="173"/>
      <c r="J1198" s="174"/>
      <c r="K1198" s="173"/>
      <c r="L1198" s="173"/>
    </row>
    <row r="1199" spans="4:12" s="170" customFormat="1" x14ac:dyDescent="0.2">
      <c r="D1199" s="173"/>
      <c r="E1199" s="173"/>
      <c r="F1199" s="173"/>
      <c r="G1199" s="173"/>
      <c r="J1199" s="174"/>
      <c r="K1199" s="173"/>
      <c r="L1199" s="173"/>
    </row>
    <row r="1200" spans="4:12" s="170" customFormat="1" x14ac:dyDescent="0.2">
      <c r="D1200" s="173"/>
      <c r="E1200" s="173"/>
      <c r="F1200" s="173"/>
      <c r="G1200" s="173"/>
      <c r="J1200" s="174"/>
      <c r="K1200" s="173"/>
      <c r="L1200" s="173"/>
    </row>
    <row r="1201" spans="4:12" s="170" customFormat="1" x14ac:dyDescent="0.2">
      <c r="D1201" s="173"/>
      <c r="E1201" s="173"/>
      <c r="F1201" s="173"/>
      <c r="G1201" s="173"/>
      <c r="J1201" s="174"/>
      <c r="K1201" s="173"/>
      <c r="L1201" s="173"/>
    </row>
    <row r="1202" spans="4:12" s="170" customFormat="1" x14ac:dyDescent="0.2">
      <c r="D1202" s="173"/>
      <c r="E1202" s="173"/>
      <c r="F1202" s="173"/>
      <c r="G1202" s="173"/>
      <c r="J1202" s="174"/>
      <c r="K1202" s="173"/>
      <c r="L1202" s="173"/>
    </row>
    <row r="1203" spans="4:12" s="170" customFormat="1" x14ac:dyDescent="0.2">
      <c r="D1203" s="173"/>
      <c r="E1203" s="173"/>
      <c r="F1203" s="173"/>
      <c r="G1203" s="173"/>
      <c r="J1203" s="174"/>
      <c r="K1203" s="173"/>
      <c r="L1203" s="173"/>
    </row>
    <row r="1204" spans="4:12" s="170" customFormat="1" x14ac:dyDescent="0.2">
      <c r="D1204" s="173"/>
      <c r="E1204" s="173"/>
      <c r="F1204" s="173"/>
      <c r="G1204" s="173"/>
      <c r="J1204" s="174"/>
      <c r="K1204" s="173"/>
      <c r="L1204" s="173"/>
    </row>
    <row r="1205" spans="4:12" s="170" customFormat="1" x14ac:dyDescent="0.2">
      <c r="D1205" s="173"/>
      <c r="E1205" s="173"/>
      <c r="F1205" s="173"/>
      <c r="G1205" s="173"/>
      <c r="J1205" s="174"/>
      <c r="K1205" s="173"/>
      <c r="L1205" s="173"/>
    </row>
    <row r="1206" spans="4:12" s="170" customFormat="1" x14ac:dyDescent="0.2">
      <c r="D1206" s="173"/>
      <c r="E1206" s="173"/>
      <c r="F1206" s="173"/>
      <c r="G1206" s="173"/>
      <c r="J1206" s="174"/>
      <c r="K1206" s="173"/>
      <c r="L1206" s="173"/>
    </row>
    <row r="1207" spans="4:12" s="170" customFormat="1" x14ac:dyDescent="0.2">
      <c r="D1207" s="173"/>
      <c r="E1207" s="173"/>
      <c r="F1207" s="173"/>
      <c r="G1207" s="173"/>
      <c r="J1207" s="174"/>
      <c r="K1207" s="173"/>
      <c r="L1207" s="173"/>
    </row>
    <row r="1208" spans="4:12" s="170" customFormat="1" x14ac:dyDescent="0.2">
      <c r="D1208" s="173"/>
      <c r="E1208" s="173"/>
      <c r="F1208" s="173"/>
      <c r="G1208" s="173"/>
      <c r="J1208" s="174"/>
      <c r="K1208" s="173"/>
      <c r="L1208" s="173"/>
    </row>
    <row r="1209" spans="4:12" s="170" customFormat="1" x14ac:dyDescent="0.2">
      <c r="D1209" s="173"/>
      <c r="E1209" s="173"/>
      <c r="F1209" s="173"/>
      <c r="G1209" s="173"/>
      <c r="J1209" s="174"/>
      <c r="K1209" s="173"/>
      <c r="L1209" s="173"/>
    </row>
    <row r="1210" spans="4:12" s="170" customFormat="1" x14ac:dyDescent="0.2">
      <c r="D1210" s="173"/>
      <c r="E1210" s="173"/>
      <c r="F1210" s="173"/>
      <c r="G1210" s="173"/>
      <c r="J1210" s="174"/>
      <c r="K1210" s="173"/>
      <c r="L1210" s="173"/>
    </row>
    <row r="1211" spans="4:12" s="170" customFormat="1" x14ac:dyDescent="0.2">
      <c r="D1211" s="173"/>
      <c r="E1211" s="173"/>
      <c r="F1211" s="173"/>
      <c r="G1211" s="173"/>
      <c r="J1211" s="174"/>
      <c r="K1211" s="173"/>
      <c r="L1211" s="173"/>
    </row>
    <row r="1212" spans="4:12" s="170" customFormat="1" x14ac:dyDescent="0.2">
      <c r="D1212" s="173"/>
      <c r="E1212" s="173"/>
      <c r="F1212" s="173"/>
      <c r="G1212" s="173"/>
      <c r="J1212" s="174"/>
      <c r="K1212" s="173"/>
      <c r="L1212" s="173"/>
    </row>
    <row r="1213" spans="4:12" s="170" customFormat="1" x14ac:dyDescent="0.2">
      <c r="D1213" s="173"/>
      <c r="E1213" s="173"/>
      <c r="F1213" s="173"/>
      <c r="G1213" s="173"/>
      <c r="J1213" s="174"/>
      <c r="K1213" s="173"/>
      <c r="L1213" s="173"/>
    </row>
    <row r="1214" spans="4:12" s="170" customFormat="1" x14ac:dyDescent="0.2">
      <c r="D1214" s="173"/>
      <c r="E1214" s="173"/>
      <c r="F1214" s="173"/>
      <c r="G1214" s="173"/>
      <c r="J1214" s="174"/>
      <c r="K1214" s="173"/>
      <c r="L1214" s="173"/>
    </row>
    <row r="1215" spans="4:12" s="170" customFormat="1" x14ac:dyDescent="0.2">
      <c r="D1215" s="173"/>
      <c r="E1215" s="173"/>
      <c r="F1215" s="173"/>
      <c r="G1215" s="173"/>
      <c r="J1215" s="174"/>
      <c r="K1215" s="173"/>
      <c r="L1215" s="173"/>
    </row>
    <row r="1216" spans="4:12" s="170" customFormat="1" x14ac:dyDescent="0.2">
      <c r="D1216" s="173"/>
      <c r="E1216" s="173"/>
      <c r="F1216" s="173"/>
      <c r="G1216" s="173"/>
      <c r="J1216" s="174"/>
      <c r="K1216" s="173"/>
      <c r="L1216" s="173"/>
    </row>
    <row r="1217" spans="4:12" s="170" customFormat="1" x14ac:dyDescent="0.2">
      <c r="D1217" s="173"/>
      <c r="E1217" s="173"/>
      <c r="F1217" s="173"/>
      <c r="G1217" s="173"/>
      <c r="J1217" s="174"/>
      <c r="K1217" s="173"/>
      <c r="L1217" s="173"/>
    </row>
    <row r="1218" spans="4:12" s="170" customFormat="1" x14ac:dyDescent="0.2">
      <c r="D1218" s="173"/>
      <c r="E1218" s="173"/>
      <c r="F1218" s="173"/>
      <c r="G1218" s="173"/>
      <c r="J1218" s="174"/>
      <c r="K1218" s="173"/>
      <c r="L1218" s="173"/>
    </row>
    <row r="1219" spans="4:12" s="170" customFormat="1" x14ac:dyDescent="0.2">
      <c r="D1219" s="173"/>
      <c r="E1219" s="173"/>
      <c r="F1219" s="173"/>
      <c r="G1219" s="173"/>
      <c r="J1219" s="174"/>
      <c r="K1219" s="173"/>
      <c r="L1219" s="173"/>
    </row>
    <row r="1220" spans="4:12" s="170" customFormat="1" x14ac:dyDescent="0.2">
      <c r="D1220" s="173"/>
      <c r="E1220" s="173"/>
      <c r="F1220" s="173"/>
      <c r="G1220" s="173"/>
      <c r="J1220" s="174"/>
      <c r="K1220" s="173"/>
      <c r="L1220" s="173"/>
    </row>
  </sheetData>
  <sheetProtection password="D987" sheet="1" insertHyperlinks="0"/>
  <protectedRanges>
    <protectedRange sqref="C52 C75 C59 C78 C136 C94 C98 C117 C121 C20 C91 C114 C71 C45:C46 C48" name="Complex Inputs_2"/>
    <protectedRange sqref="C58 C73 C77 C53:C54 C93 C97 C116 C120" name="Complex Inputs_1_1"/>
  </protectedRanges>
  <mergeCells count="15">
    <mergeCell ref="I5:L5"/>
    <mergeCell ref="C5:G5"/>
    <mergeCell ref="C166:C167"/>
    <mergeCell ref="C62:L62"/>
    <mergeCell ref="C81:L81"/>
    <mergeCell ref="C101:L101"/>
    <mergeCell ref="C124:L124"/>
    <mergeCell ref="C132:L132"/>
    <mergeCell ref="C142:L142"/>
    <mergeCell ref="C8:L8"/>
    <mergeCell ref="D6:D7"/>
    <mergeCell ref="G6:G7"/>
    <mergeCell ref="E6:F6"/>
    <mergeCell ref="C6:C7"/>
    <mergeCell ref="C31:L31"/>
  </mergeCells>
  <dataValidations count="16">
    <dataValidation allowBlank="1" showInputMessage="1" showErrorMessage="1" promptTitle="Examples" prompt="wires and cables, combiners, junction boxes, conduit runs, protection devices, communications equipment, Performance and warranty" sqref="C19 C70 C47 C90 C110"/>
    <dataValidation allowBlank="1" showInputMessage="1" showErrorMessage="1" promptTitle="Examples" prompt="Site selection, Resource Measurement/Analysis and Evaluation, Environmental Impact Assessment, Community Engagement, Front End Engineering and Design,  Construction Plans/Drawings Approvals and Contracting " sqref="C103 C33 C64 C83"/>
    <dataValidation allowBlank="1" showInputMessage="1" showErrorMessage="1" promptTitle="Examples" prompt="1) Fees and expenses for incorporation, _x000a_2) Costs paid to county and national government for organising the corporation to make it ready to do business,_x000a_3) Mini-grid regulatory license(s)/permits fees" sqref="C9 C32 C63 C82 C102"/>
    <dataValidation type="custom" allowBlank="1" showInputMessage="1" showErrorMessage="1" errorTitle="Error" error="See below cells to enter grid and metering costs" promptTitle="Note:" prompt="This section is for entries for Generation Costs only. " sqref="E9:F30 E32:F61 E63:F80 E82:F100 E102:F123">
      <formula1>0</formula1>
    </dataValidation>
    <dataValidation type="custom" allowBlank="1" showInputMessage="1" showErrorMessage="1" errorTitle="Error" error="Please enter Generation Expenses above" promptTitle="Note" prompt="This section is for Grid and Metering Costs Only. _x000a_1) Enter Grid and Metering Costs on the next column(s)_x000a_2) Enter Generation Costs in the column cells above" sqref="D125:D131">
      <formula1>0</formula1>
    </dataValidation>
    <dataValidation type="custom" allowBlank="1" showInputMessage="1" showErrorMessage="1" promptTitle="Note" prompt="No entries allowed on this column. It is a calculation" sqref="G102:G123 G159:G162 G9:G30 G32:G61 G63:G80 G82:G100 G143:G150 G125:G131 G133:G141 G168:G187">
      <formula1>0</formula1>
    </dataValidation>
    <dataValidation allowBlank="1" showInputMessage="1" showErrorMessage="1" promptTitle="Examples" prompt="Site selection, Resource Measurement/Analysis and Evaluation, Feasibility Studies, Environmental Impact Assessment, Community Engagement, Front End Engineering and Design,  Construction Plans/Drawings Approvals and Contracting " sqref="C10"/>
    <dataValidation type="custom" allowBlank="1" showInputMessage="1" showErrorMessage="1" errorTitle="Note" error="No entries allowed in this column. It is a calculation" promptTitle="Note" prompt="No entries allow in this column. It is a calculation" sqref="J102:L123 J159:L162 J9:L30 J82:L100 J32:L61 J63:L80 J143:L150 J125:L131 J133:L141 J168:L187">
      <formula1>0</formula1>
    </dataValidation>
    <dataValidation type="custom" allowBlank="1" showInputMessage="1" showErrorMessage="1" errorTitle="Error" error="This is a calculation of the total. Enter your amounts in the appropriate row above" promptTitle="Note" prompt="No entry allow on this row" sqref="C151:L151">
      <formula1>0</formula1>
    </dataValidation>
    <dataValidation allowBlank="1" showInputMessage="1" showErrorMessage="1" errorTitle="Error" error="This is a calculation of the total. Enter your amounts in the appropriate row above" promptTitle="Note" prompt="No entry allow on this row" sqref="C163:L163 C188:L188 O188"/>
    <dataValidation type="custom" allowBlank="1" showInputMessage="1" showErrorMessage="1" errorTitle="Error" error="This value is linked from the Loan draw-down &amp; repayment tab._x000a_Make all your changes to the respective drawdown percentages rows in the loan drawndown &amp; repayment tab" promptTitle="Note" prompt="No direct input can be made into this cell." sqref="D156 D161">
      <formula1>0</formula1>
    </dataValidation>
    <dataValidation type="custom" allowBlank="1" showInputMessage="1" showErrorMessage="1" errorTitle="Error" error="This value is linked from the Loan draw-down &amp; repayment tab._x000a_Make all your changes percentage of debt and % debt origination cost in the Tariffs Input tab" promptTitle="Note" prompt="No direct input can be made into this cell." sqref="D160">
      <formula1>0</formula1>
    </dataValidation>
    <dataValidation type="custom" allowBlank="1" showInputMessage="1" showErrorMessage="1" errorTitle="Error" error="The column is locked for model integrity purposes" promptTitle="Note" prompt="No entries allowed into this column." sqref="D168:D187">
      <formula1>0</formula1>
    </dataValidation>
    <dataValidation type="custom" allowBlank="1" showInputMessage="1" showErrorMessage="1" errorTitle="Error" error="Please enter Generation Expenses above" promptTitle="Note" prompt="This section is for Distribution Costs Only. _x000a_1) Enter Distribution Costs on the left_x000a_2) Enter Generation Costs in the column cells above" sqref="F125:F131">
      <formula1>0</formula1>
    </dataValidation>
    <dataValidation type="custom" allowBlank="1" showInputMessage="1" showErrorMessage="1" errorTitle="Error" error="Please enter Generation Expenses above" promptTitle="Note" prompt="This section is for Retail Metering &amp; Reticulation Costs Only. _x000a_1) Enter Retail Metering &amp; Reticulation Costs on the next column_x000a_2) Enter Generation Costs in the column cells above" sqref="D133:E141">
      <formula1>0</formula1>
    </dataValidation>
    <dataValidation type="decimal" operator="greaterThanOrEqual" allowBlank="1" showInputMessage="1" showErrorMessage="1" sqref="D9:D30 I9:I30 I32:I61 D32:D61 D63:D80 I63:I80 D102:D123 D82:D100 E168:F187 E125:E131 I125:I131 I133:I141 F133:F141 D143:F149 I143:I149 D155 D159:F159 E160:F162 D162 I159:I162 I82:I100 I102:I123 I168:I187">
      <formula1>0</formula1>
    </dataValidation>
  </dataValidations>
  <pageMargins left="0.70866141732283472" right="0.70866141732283472" top="0.74803149606299213" bottom="0.74803149606299213" header="0.31496062992125984" footer="0.31496062992125984"/>
  <pageSetup scale="65" fitToHeight="0" orientation="landscape" r:id="rId1"/>
  <headerFooter>
    <oddHeader>&amp;C&amp;A</oddHeader>
    <oddFooter>&amp;CPage &amp;P of &amp;N</oddFooter>
  </headerFooter>
  <rowBreaks count="6" manualBreakCount="6">
    <brk id="30" max="16383" man="1"/>
    <brk id="61" max="16383" man="1"/>
    <brk id="80" max="16383" man="1"/>
    <brk id="100" max="16383" man="1"/>
    <brk id="123" max="16383" man="1"/>
    <brk id="164" max="16383" man="1"/>
  </rowBreaks>
  <ignoredErrors>
    <ignoredError sqref="G168:G169"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KV2124"/>
  <sheetViews>
    <sheetView showGridLines="0" topLeftCell="B1" zoomScaleNormal="100" workbookViewId="0">
      <selection activeCell="R4" sqref="R4"/>
    </sheetView>
  </sheetViews>
  <sheetFormatPr defaultColWidth="9.140625" defaultRowHeight="12.75" x14ac:dyDescent="0.2"/>
  <cols>
    <col min="1" max="1" width="1.42578125" style="170" customWidth="1"/>
    <col min="2" max="2" width="1.42578125" style="26" customWidth="1"/>
    <col min="3" max="3" width="37" style="26" customWidth="1"/>
    <col min="4" max="4" width="14" style="26" customWidth="1"/>
    <col min="5" max="5" width="17.5703125" style="26" bestFit="1" customWidth="1"/>
    <col min="6" max="6" width="20.28515625" style="27" customWidth="1"/>
    <col min="7" max="7" width="13.7109375" style="27" bestFit="1" customWidth="1"/>
    <col min="8" max="8" width="18" style="28" customWidth="1"/>
    <col min="9" max="9" width="10.5703125" style="29" bestFit="1" customWidth="1"/>
    <col min="10" max="12" width="9.140625" style="30"/>
    <col min="13" max="13" width="0" style="31" hidden="1" customWidth="1"/>
    <col min="14" max="17" width="0" style="32" hidden="1" customWidth="1"/>
    <col min="18" max="19" width="9.140625" style="26"/>
    <col min="20" max="308" width="9.140625" style="170"/>
    <col min="309" max="16384" width="9.140625" style="26"/>
  </cols>
  <sheetData>
    <row r="1" spans="1:308" s="170" customFormat="1" ht="7.5" customHeight="1" x14ac:dyDescent="0.2">
      <c r="F1" s="187"/>
      <c r="G1" s="187"/>
      <c r="H1" s="188"/>
      <c r="I1" s="189"/>
      <c r="J1" s="190"/>
      <c r="K1" s="190"/>
      <c r="L1" s="190"/>
      <c r="M1" s="191"/>
      <c r="N1" s="172"/>
      <c r="O1" s="172"/>
      <c r="P1" s="172"/>
      <c r="Q1" s="172"/>
    </row>
    <row r="2" spans="1:308" ht="7.5" customHeight="1" x14ac:dyDescent="0.2"/>
    <row r="3" spans="1:308" ht="15" customHeight="1" x14ac:dyDescent="0.3">
      <c r="C3" s="202" t="s">
        <v>373</v>
      </c>
    </row>
    <row r="4" spans="1:308" s="119" customFormat="1" x14ac:dyDescent="0.2">
      <c r="A4" s="170"/>
      <c r="C4" s="203"/>
      <c r="F4" s="123"/>
      <c r="G4" s="123"/>
      <c r="H4" s="124"/>
      <c r="I4" s="125"/>
      <c r="J4" s="126"/>
      <c r="K4" s="126"/>
      <c r="L4" s="126"/>
      <c r="M4" s="127"/>
      <c r="N4" s="128"/>
      <c r="O4" s="128"/>
      <c r="P4" s="128"/>
      <c r="Q4" s="128"/>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c r="IW4" s="170"/>
      <c r="IX4" s="170"/>
      <c r="IY4" s="170"/>
      <c r="IZ4" s="170"/>
      <c r="JA4" s="170"/>
      <c r="JB4" s="170"/>
      <c r="JC4" s="170"/>
      <c r="JD4" s="170"/>
      <c r="JE4" s="170"/>
      <c r="JF4" s="170"/>
      <c r="JG4" s="170"/>
      <c r="JH4" s="170"/>
      <c r="JI4" s="170"/>
      <c r="JJ4" s="170"/>
      <c r="JK4" s="170"/>
      <c r="JL4" s="170"/>
      <c r="JM4" s="170"/>
      <c r="JN4" s="170"/>
      <c r="JO4" s="170"/>
      <c r="JP4" s="170"/>
      <c r="JQ4" s="170"/>
      <c r="JR4" s="170"/>
      <c r="JS4" s="170"/>
      <c r="JT4" s="170"/>
      <c r="JU4" s="170"/>
      <c r="JV4" s="170"/>
      <c r="JW4" s="170"/>
      <c r="JX4" s="170"/>
      <c r="JY4" s="170"/>
      <c r="JZ4" s="170"/>
      <c r="KA4" s="170"/>
      <c r="KB4" s="170"/>
      <c r="KC4" s="170"/>
      <c r="KD4" s="170"/>
      <c r="KE4" s="170"/>
      <c r="KF4" s="170"/>
      <c r="KG4" s="170"/>
      <c r="KH4" s="170"/>
      <c r="KI4" s="170"/>
      <c r="KJ4" s="170"/>
      <c r="KK4" s="170"/>
      <c r="KL4" s="170"/>
      <c r="KM4" s="170"/>
      <c r="KN4" s="170"/>
      <c r="KO4" s="170"/>
      <c r="KP4" s="170"/>
      <c r="KQ4" s="170"/>
      <c r="KR4" s="170"/>
      <c r="KS4" s="170"/>
      <c r="KT4" s="170"/>
      <c r="KU4" s="170"/>
      <c r="KV4" s="170"/>
    </row>
    <row r="5" spans="1:308" s="119" customFormat="1" x14ac:dyDescent="0.2">
      <c r="A5" s="170"/>
      <c r="C5" s="204" t="s">
        <v>374</v>
      </c>
      <c r="F5" s="123"/>
      <c r="G5" s="123"/>
      <c r="H5" s="124"/>
      <c r="I5" s="125"/>
      <c r="J5" s="126"/>
      <c r="K5" s="126"/>
      <c r="L5" s="126"/>
      <c r="M5" s="127"/>
      <c r="N5" s="128"/>
      <c r="O5" s="128"/>
      <c r="P5" s="128"/>
      <c r="Q5" s="128"/>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c r="IW5" s="170"/>
      <c r="IX5" s="170"/>
      <c r="IY5" s="170"/>
      <c r="IZ5" s="170"/>
      <c r="JA5" s="170"/>
      <c r="JB5" s="170"/>
      <c r="JC5" s="170"/>
      <c r="JD5" s="170"/>
      <c r="JE5" s="170"/>
      <c r="JF5" s="170"/>
      <c r="JG5" s="170"/>
      <c r="JH5" s="170"/>
      <c r="JI5" s="170"/>
      <c r="JJ5" s="170"/>
      <c r="JK5" s="170"/>
      <c r="JL5" s="170"/>
      <c r="JM5" s="170"/>
      <c r="JN5" s="170"/>
      <c r="JO5" s="170"/>
      <c r="JP5" s="170"/>
      <c r="JQ5" s="170"/>
      <c r="JR5" s="170"/>
      <c r="JS5" s="170"/>
      <c r="JT5" s="170"/>
      <c r="JU5" s="170"/>
      <c r="JV5" s="170"/>
      <c r="JW5" s="170"/>
      <c r="JX5" s="170"/>
      <c r="JY5" s="170"/>
      <c r="JZ5" s="170"/>
      <c r="KA5" s="170"/>
      <c r="KB5" s="170"/>
      <c r="KC5" s="170"/>
      <c r="KD5" s="170"/>
      <c r="KE5" s="170"/>
      <c r="KF5" s="170"/>
      <c r="KG5" s="170"/>
      <c r="KH5" s="170"/>
      <c r="KI5" s="170"/>
      <c r="KJ5" s="170"/>
      <c r="KK5" s="170"/>
      <c r="KL5" s="170"/>
      <c r="KM5" s="170"/>
      <c r="KN5" s="170"/>
      <c r="KO5" s="170"/>
      <c r="KP5" s="170"/>
      <c r="KQ5" s="170"/>
      <c r="KR5" s="170"/>
      <c r="KS5" s="170"/>
      <c r="KT5" s="170"/>
      <c r="KU5" s="170"/>
      <c r="KV5" s="170"/>
    </row>
    <row r="6" spans="1:308" ht="12" customHeight="1" x14ac:dyDescent="0.25">
      <c r="C6" s="205"/>
      <c r="D6" s="166" t="s">
        <v>35</v>
      </c>
      <c r="E6" s="166" t="s">
        <v>14</v>
      </c>
    </row>
    <row r="7" spans="1:308" ht="12" customHeight="1" x14ac:dyDescent="0.2">
      <c r="C7" s="34" t="s">
        <v>15</v>
      </c>
      <c r="D7" s="139"/>
      <c r="E7" s="557" t="s">
        <v>133</v>
      </c>
      <c r="M7" s="28" t="s">
        <v>133</v>
      </c>
      <c r="N7" s="28" t="s">
        <v>109</v>
      </c>
      <c r="O7" s="32" t="s">
        <v>132</v>
      </c>
    </row>
    <row r="8" spans="1:308" ht="12" customHeight="1" x14ac:dyDescent="0.2">
      <c r="C8" s="34" t="s">
        <v>124</v>
      </c>
      <c r="D8" s="195"/>
      <c r="E8" s="35" t="s">
        <v>13</v>
      </c>
    </row>
    <row r="9" spans="1:308" ht="12" customHeight="1" x14ac:dyDescent="0.25">
      <c r="C9" s="34" t="s">
        <v>81</v>
      </c>
      <c r="D9" s="199">
        <f>D7*D8</f>
        <v>0</v>
      </c>
      <c r="E9" s="35" t="str">
        <f>E7</f>
        <v>kW</v>
      </c>
    </row>
    <row r="10" spans="1:308" ht="12" customHeight="1" x14ac:dyDescent="0.2">
      <c r="C10" s="34" t="s">
        <v>422</v>
      </c>
      <c r="D10" s="195">
        <v>0.85</v>
      </c>
      <c r="E10" s="35" t="s">
        <v>13</v>
      </c>
      <c r="I10" s="36"/>
    </row>
    <row r="11" spans="1:308" ht="12" customHeight="1" x14ac:dyDescent="0.25">
      <c r="C11" s="34" t="s">
        <v>158</v>
      </c>
      <c r="D11" s="199">
        <f>D9*D10</f>
        <v>0</v>
      </c>
      <c r="E11" s="35" t="str">
        <f>E7</f>
        <v>kW</v>
      </c>
      <c r="I11" s="36"/>
    </row>
    <row r="12" spans="1:308" ht="12" customHeight="1" x14ac:dyDescent="0.2">
      <c r="C12" s="34" t="s">
        <v>157</v>
      </c>
      <c r="D12" s="197">
        <v>0.04</v>
      </c>
      <c r="E12" s="35" t="s">
        <v>13</v>
      </c>
      <c r="I12" s="36"/>
    </row>
    <row r="13" spans="1:308" ht="12" customHeight="1" x14ac:dyDescent="0.2">
      <c r="C13" s="34" t="s">
        <v>176</v>
      </c>
      <c r="D13" s="196">
        <f>D11*(1-D12)</f>
        <v>0</v>
      </c>
      <c r="E13" s="35" t="str">
        <f>E7</f>
        <v>kW</v>
      </c>
      <c r="I13" s="36"/>
    </row>
    <row r="14" spans="1:308" ht="12" customHeight="1" x14ac:dyDescent="0.2">
      <c r="C14" s="34" t="s">
        <v>177</v>
      </c>
      <c r="D14" s="637">
        <f>365*24</f>
        <v>8760</v>
      </c>
      <c r="E14" s="35" t="s">
        <v>82</v>
      </c>
      <c r="I14" s="36"/>
    </row>
    <row r="15" spans="1:308" ht="12" customHeight="1" x14ac:dyDescent="0.25">
      <c r="C15" s="34" t="s">
        <v>196</v>
      </c>
      <c r="D15" s="635">
        <f>ROUNDDOWN(IF($E$7="Kw",D13*D14,IF($E$7="Kwh",D13,D13*D14*1000)),0)</f>
        <v>0</v>
      </c>
      <c r="E15" s="38" t="s">
        <v>132</v>
      </c>
      <c r="I15" s="36"/>
    </row>
    <row r="16" spans="1:308" ht="12" customHeight="1" x14ac:dyDescent="0.2">
      <c r="C16" s="34" t="s">
        <v>28</v>
      </c>
      <c r="D16" s="130">
        <v>2.5000000000000001E-3</v>
      </c>
      <c r="E16" s="35" t="s">
        <v>13</v>
      </c>
      <c r="M16" s="39">
        <v>0</v>
      </c>
      <c r="N16" s="40">
        <v>2.5000000000000001E-3</v>
      </c>
      <c r="O16" s="40">
        <v>5.0000000000000001E-3</v>
      </c>
      <c r="P16" s="40">
        <v>7.4999999999999997E-3</v>
      </c>
      <c r="Q16" s="40">
        <v>0.01</v>
      </c>
    </row>
    <row r="17" spans="3:17" ht="12" customHeight="1" x14ac:dyDescent="0.2">
      <c r="C17" s="34" t="s">
        <v>88</v>
      </c>
      <c r="D17" s="135">
        <v>25</v>
      </c>
      <c r="E17" s="38" t="s">
        <v>32</v>
      </c>
      <c r="M17" s="28">
        <v>20</v>
      </c>
      <c r="N17" s="28">
        <v>25</v>
      </c>
      <c r="O17" s="28">
        <v>30</v>
      </c>
      <c r="P17" s="28">
        <v>35</v>
      </c>
      <c r="Q17" s="28">
        <v>40</v>
      </c>
    </row>
    <row r="18" spans="3:17" x14ac:dyDescent="0.2">
      <c r="K18" s="26"/>
    </row>
    <row r="19" spans="3:17" x14ac:dyDescent="0.2">
      <c r="C19" s="99" t="s">
        <v>375</v>
      </c>
    </row>
    <row r="20" spans="3:17" x14ac:dyDescent="0.2">
      <c r="C20" s="41"/>
      <c r="D20" s="33" t="s">
        <v>35</v>
      </c>
      <c r="E20" s="71" t="s">
        <v>14</v>
      </c>
      <c r="F20" s="28"/>
      <c r="G20" s="28"/>
      <c r="H20" s="29"/>
      <c r="M20" s="28" t="s">
        <v>33</v>
      </c>
      <c r="N20" s="28" t="s">
        <v>34</v>
      </c>
    </row>
    <row r="21" spans="3:17" ht="13.5" thickBot="1" x14ac:dyDescent="0.25">
      <c r="C21" s="34" t="s">
        <v>30</v>
      </c>
      <c r="D21" s="131" t="s">
        <v>33</v>
      </c>
      <c r="E21" s="72" t="s">
        <v>85</v>
      </c>
      <c r="G21" s="28"/>
      <c r="H21" s="29"/>
      <c r="M21" s="28"/>
    </row>
    <row r="22" spans="3:17" ht="14.25" thickTop="1" thickBot="1" x14ac:dyDescent="0.25">
      <c r="C22" s="34" t="s">
        <v>86</v>
      </c>
      <c r="D22" s="73" t="str">
        <f>IF(D21="Yes", "No", "Yes")</f>
        <v>No</v>
      </c>
      <c r="E22" s="72" t="s">
        <v>178</v>
      </c>
      <c r="G22" s="28"/>
      <c r="H22" s="29"/>
    </row>
    <row r="23" spans="3:17" ht="13.5" thickTop="1" x14ac:dyDescent="0.2"/>
    <row r="24" spans="3:17" x14ac:dyDescent="0.2">
      <c r="C24" s="99" t="s">
        <v>376</v>
      </c>
    </row>
    <row r="25" spans="3:17" x14ac:dyDescent="0.2">
      <c r="C25" s="41"/>
      <c r="D25" s="33" t="s">
        <v>35</v>
      </c>
      <c r="E25" s="42" t="s">
        <v>16</v>
      </c>
      <c r="F25" s="74" t="s">
        <v>14</v>
      </c>
      <c r="G25" s="74" t="s">
        <v>501</v>
      </c>
    </row>
    <row r="26" spans="3:17" x14ac:dyDescent="0.2">
      <c r="C26" s="34" t="s">
        <v>115</v>
      </c>
      <c r="D26" s="193"/>
      <c r="E26" s="35" t="s">
        <v>23</v>
      </c>
      <c r="F26" s="72" t="s">
        <v>85</v>
      </c>
      <c r="G26" s="200" t="s">
        <v>201</v>
      </c>
      <c r="M26" s="31" t="s">
        <v>201</v>
      </c>
      <c r="N26" s="32" t="s">
        <v>200</v>
      </c>
    </row>
    <row r="27" spans="3:17" x14ac:dyDescent="0.2">
      <c r="C27" s="34" t="s">
        <v>116</v>
      </c>
      <c r="D27" s="193"/>
      <c r="E27" s="35" t="s">
        <v>23</v>
      </c>
      <c r="F27" s="72" t="s">
        <v>85</v>
      </c>
      <c r="G27" s="200" t="s">
        <v>201</v>
      </c>
    </row>
    <row r="28" spans="3:17" x14ac:dyDescent="0.2">
      <c r="C28" s="34" t="s">
        <v>117</v>
      </c>
      <c r="D28" s="193"/>
      <c r="E28" s="35" t="s">
        <v>23</v>
      </c>
      <c r="F28" s="72" t="s">
        <v>85</v>
      </c>
      <c r="G28" s="200" t="s">
        <v>201</v>
      </c>
    </row>
    <row r="29" spans="3:17" x14ac:dyDescent="0.2">
      <c r="C29" s="34" t="s">
        <v>118</v>
      </c>
      <c r="D29" s="193"/>
      <c r="E29" s="35" t="s">
        <v>23</v>
      </c>
      <c r="F29" s="72" t="s">
        <v>85</v>
      </c>
      <c r="G29" s="200" t="s">
        <v>201</v>
      </c>
    </row>
    <row r="30" spans="3:17" x14ac:dyDescent="0.2">
      <c r="C30" s="34" t="s">
        <v>114</v>
      </c>
      <c r="D30" s="193"/>
      <c r="E30" s="35" t="s">
        <v>23</v>
      </c>
      <c r="F30" s="72" t="s">
        <v>85</v>
      </c>
      <c r="G30" s="200" t="s">
        <v>200</v>
      </c>
    </row>
    <row r="31" spans="3:17" x14ac:dyDescent="0.2">
      <c r="C31" s="34" t="s">
        <v>107</v>
      </c>
      <c r="D31" s="193"/>
      <c r="E31" s="35" t="s">
        <v>23</v>
      </c>
      <c r="F31" s="72" t="s">
        <v>85</v>
      </c>
      <c r="G31" s="200" t="s">
        <v>200</v>
      </c>
    </row>
    <row r="32" spans="3:17" x14ac:dyDescent="0.2">
      <c r="C32" s="34" t="s">
        <v>164</v>
      </c>
      <c r="D32" s="193"/>
      <c r="E32" s="35" t="s">
        <v>23</v>
      </c>
      <c r="F32" s="72" t="s">
        <v>85</v>
      </c>
      <c r="G32" s="200" t="s">
        <v>200</v>
      </c>
    </row>
    <row r="33" spans="3:7" x14ac:dyDescent="0.2">
      <c r="C33" s="34" t="s">
        <v>105</v>
      </c>
      <c r="D33" s="193"/>
      <c r="E33" s="35" t="s">
        <v>23</v>
      </c>
      <c r="F33" s="72" t="s">
        <v>85</v>
      </c>
      <c r="G33" s="200" t="s">
        <v>201</v>
      </c>
    </row>
    <row r="34" spans="3:7" x14ac:dyDescent="0.2">
      <c r="C34" s="34" t="s">
        <v>106</v>
      </c>
      <c r="D34" s="193"/>
      <c r="E34" s="35" t="s">
        <v>23</v>
      </c>
      <c r="F34" s="72" t="s">
        <v>85</v>
      </c>
      <c r="G34" s="200" t="s">
        <v>201</v>
      </c>
    </row>
    <row r="35" spans="3:7" x14ac:dyDescent="0.2">
      <c r="C35" s="34" t="s">
        <v>198</v>
      </c>
      <c r="D35" s="193"/>
      <c r="E35" s="35" t="s">
        <v>23</v>
      </c>
      <c r="F35" s="72" t="s">
        <v>85</v>
      </c>
      <c r="G35" s="200" t="s">
        <v>201</v>
      </c>
    </row>
    <row r="36" spans="3:7" x14ac:dyDescent="0.2">
      <c r="C36" s="34" t="s">
        <v>165</v>
      </c>
      <c r="D36" s="193"/>
      <c r="E36" s="35" t="s">
        <v>23</v>
      </c>
      <c r="F36" s="72" t="s">
        <v>85</v>
      </c>
      <c r="G36" s="200" t="s">
        <v>201</v>
      </c>
    </row>
    <row r="37" spans="3:7" x14ac:dyDescent="0.2">
      <c r="C37" s="34" t="s">
        <v>166</v>
      </c>
      <c r="D37" s="193"/>
      <c r="E37" s="35" t="s">
        <v>23</v>
      </c>
      <c r="F37" s="72" t="s">
        <v>85</v>
      </c>
      <c r="G37" s="200" t="s">
        <v>201</v>
      </c>
    </row>
    <row r="38" spans="3:7" x14ac:dyDescent="0.2">
      <c r="C38" s="34" t="s">
        <v>168</v>
      </c>
      <c r="D38" s="193"/>
      <c r="E38" s="35" t="s">
        <v>23</v>
      </c>
      <c r="F38" s="72" t="s">
        <v>85</v>
      </c>
      <c r="G38" s="200" t="s">
        <v>201</v>
      </c>
    </row>
    <row r="39" spans="3:7" x14ac:dyDescent="0.2">
      <c r="C39" s="34" t="s">
        <v>167</v>
      </c>
      <c r="D39" s="193"/>
      <c r="E39" s="35" t="s">
        <v>23</v>
      </c>
      <c r="F39" s="72" t="s">
        <v>85</v>
      </c>
      <c r="G39" s="200" t="s">
        <v>201</v>
      </c>
    </row>
    <row r="40" spans="3:7" x14ac:dyDescent="0.2">
      <c r="C40" s="34" t="s">
        <v>170</v>
      </c>
      <c r="D40" s="193"/>
      <c r="E40" s="35" t="s">
        <v>23</v>
      </c>
      <c r="F40" s="72" t="s">
        <v>85</v>
      </c>
      <c r="G40" s="200" t="s">
        <v>201</v>
      </c>
    </row>
    <row r="41" spans="3:7" x14ac:dyDescent="0.2">
      <c r="C41" s="34" t="s">
        <v>110</v>
      </c>
      <c r="D41" s="193"/>
      <c r="E41" s="35" t="s">
        <v>23</v>
      </c>
      <c r="F41" s="72" t="s">
        <v>85</v>
      </c>
      <c r="G41" s="200" t="s">
        <v>201</v>
      </c>
    </row>
    <row r="42" spans="3:7" x14ac:dyDescent="0.2">
      <c r="C42" s="34" t="s">
        <v>169</v>
      </c>
      <c r="D42" s="193"/>
      <c r="E42" s="35" t="s">
        <v>23</v>
      </c>
      <c r="F42" s="72" t="s">
        <v>85</v>
      </c>
      <c r="G42" s="200" t="s">
        <v>201</v>
      </c>
    </row>
    <row r="43" spans="3:7" x14ac:dyDescent="0.2">
      <c r="C43" s="34" t="s">
        <v>113</v>
      </c>
      <c r="D43" s="193"/>
      <c r="E43" s="35" t="s">
        <v>23</v>
      </c>
      <c r="F43" s="72" t="s">
        <v>85</v>
      </c>
      <c r="G43" s="200" t="s">
        <v>200</v>
      </c>
    </row>
    <row r="44" spans="3:7" x14ac:dyDescent="0.2">
      <c r="C44" s="34" t="s">
        <v>197</v>
      </c>
      <c r="D44" s="193"/>
      <c r="E44" s="35" t="s">
        <v>23</v>
      </c>
      <c r="F44" s="72" t="s">
        <v>85</v>
      </c>
      <c r="G44" s="200" t="s">
        <v>200</v>
      </c>
    </row>
    <row r="45" spans="3:7" x14ac:dyDescent="0.2">
      <c r="C45" s="34" t="s">
        <v>111</v>
      </c>
      <c r="D45" s="193"/>
      <c r="E45" s="35" t="s">
        <v>23</v>
      </c>
      <c r="F45" s="72" t="s">
        <v>85</v>
      </c>
      <c r="G45" s="200" t="s">
        <v>200</v>
      </c>
    </row>
    <row r="46" spans="3:7" x14ac:dyDescent="0.2">
      <c r="C46" s="34" t="s">
        <v>112</v>
      </c>
      <c r="D46" s="193"/>
      <c r="E46" s="35" t="s">
        <v>23</v>
      </c>
      <c r="F46" s="72" t="s">
        <v>85</v>
      </c>
      <c r="G46" s="200" t="s">
        <v>200</v>
      </c>
    </row>
    <row r="47" spans="3:7" x14ac:dyDescent="0.2">
      <c r="C47" s="75" t="s">
        <v>180</v>
      </c>
      <c r="D47" s="194"/>
      <c r="E47" s="35" t="s">
        <v>23</v>
      </c>
      <c r="F47" s="76" t="s">
        <v>85</v>
      </c>
      <c r="G47" s="200" t="s">
        <v>200</v>
      </c>
    </row>
    <row r="48" spans="3:7" x14ac:dyDescent="0.2">
      <c r="C48" s="75" t="s">
        <v>181</v>
      </c>
      <c r="D48" s="194"/>
      <c r="E48" s="35" t="s">
        <v>23</v>
      </c>
      <c r="F48" s="76" t="s">
        <v>85</v>
      </c>
      <c r="G48" s="200" t="s">
        <v>201</v>
      </c>
    </row>
    <row r="49" spans="1:308" x14ac:dyDescent="0.2">
      <c r="C49" s="75" t="s">
        <v>202</v>
      </c>
      <c r="D49" s="194"/>
      <c r="E49" s="35" t="s">
        <v>23</v>
      </c>
      <c r="F49" s="76" t="s">
        <v>85</v>
      </c>
      <c r="G49" s="200" t="s">
        <v>201</v>
      </c>
    </row>
    <row r="50" spans="1:308" x14ac:dyDescent="0.2">
      <c r="C50" s="75" t="s">
        <v>286</v>
      </c>
      <c r="D50" s="194"/>
      <c r="E50" s="35" t="s">
        <v>23</v>
      </c>
      <c r="F50" s="76" t="s">
        <v>85</v>
      </c>
      <c r="G50" s="200" t="s">
        <v>200</v>
      </c>
    </row>
    <row r="51" spans="1:308" ht="12" customHeight="1" x14ac:dyDescent="0.2">
      <c r="C51" s="491" t="s">
        <v>108</v>
      </c>
      <c r="D51" s="201"/>
      <c r="E51" s="35" t="s">
        <v>23</v>
      </c>
      <c r="F51" s="76" t="s">
        <v>85</v>
      </c>
      <c r="G51" s="200"/>
    </row>
    <row r="52" spans="1:308" ht="13.5" thickBot="1" x14ac:dyDescent="0.25">
      <c r="C52" s="77" t="s">
        <v>130</v>
      </c>
      <c r="D52" s="636">
        <f>SUM(D26:D51)</f>
        <v>0</v>
      </c>
      <c r="E52" s="78" t="str">
        <f>E51</f>
        <v>KES</v>
      </c>
      <c r="F52" s="78" t="s">
        <v>85</v>
      </c>
      <c r="M52" s="26"/>
      <c r="N52" s="26"/>
      <c r="O52" s="26"/>
      <c r="P52" s="26"/>
      <c r="Q52" s="26"/>
    </row>
    <row r="53" spans="1:308" ht="13.5" thickTop="1" x14ac:dyDescent="0.2">
      <c r="C53" s="75" t="s">
        <v>589</v>
      </c>
      <c r="D53" s="223">
        <v>0.2</v>
      </c>
      <c r="E53" s="35" t="s">
        <v>13</v>
      </c>
      <c r="F53" s="76" t="s">
        <v>85</v>
      </c>
      <c r="M53" s="26"/>
      <c r="N53" s="26"/>
      <c r="O53" s="26"/>
      <c r="P53" s="26"/>
      <c r="Q53" s="26"/>
    </row>
    <row r="54" spans="1:308" ht="13.5" thickBot="1" x14ac:dyDescent="0.25">
      <c r="C54" s="77" t="s">
        <v>299</v>
      </c>
      <c r="D54" s="636">
        <f>D52*D17</f>
        <v>0</v>
      </c>
      <c r="E54" s="78" t="str">
        <f>E52</f>
        <v>KES</v>
      </c>
      <c r="F54" s="78" t="s">
        <v>85</v>
      </c>
      <c r="M54" s="26"/>
      <c r="N54" s="26"/>
      <c r="O54" s="26"/>
      <c r="P54" s="26"/>
      <c r="Q54" s="26"/>
    </row>
    <row r="55" spans="1:308" ht="13.5" thickTop="1" x14ac:dyDescent="0.2"/>
    <row r="56" spans="1:308" x14ac:dyDescent="0.2">
      <c r="C56" s="99" t="s">
        <v>545</v>
      </c>
      <c r="D56" s="99"/>
      <c r="E56" s="99"/>
    </row>
    <row r="57" spans="1:308" s="105" customFormat="1" x14ac:dyDescent="0.2">
      <c r="A57" s="184"/>
      <c r="B57" s="143"/>
      <c r="C57" s="33" t="s">
        <v>125</v>
      </c>
      <c r="D57" s="71" t="s">
        <v>61</v>
      </c>
      <c r="E57" s="71" t="s">
        <v>77</v>
      </c>
      <c r="F57" s="71" t="s">
        <v>78</v>
      </c>
      <c r="G57" s="71" t="s">
        <v>79</v>
      </c>
      <c r="H57" s="74" t="s">
        <v>80</v>
      </c>
      <c r="I57" s="42" t="s">
        <v>16</v>
      </c>
      <c r="J57" s="45"/>
      <c r="K57" s="45"/>
      <c r="L57" s="45"/>
      <c r="M57" s="121"/>
      <c r="N57" s="121"/>
      <c r="O57" s="121"/>
      <c r="P57" s="121"/>
      <c r="Q57" s="121"/>
      <c r="R57" s="121"/>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184"/>
      <c r="FL57" s="184"/>
      <c r="FM57" s="184"/>
      <c r="FN57" s="184"/>
      <c r="FO57" s="184"/>
      <c r="FP57" s="184"/>
      <c r="FQ57" s="184"/>
      <c r="FR57" s="184"/>
      <c r="FS57" s="184"/>
      <c r="FT57" s="184"/>
      <c r="FU57" s="184"/>
      <c r="FV57" s="184"/>
      <c r="FW57" s="184"/>
      <c r="FX57" s="184"/>
      <c r="FY57" s="184"/>
      <c r="FZ57" s="184"/>
      <c r="GA57" s="184"/>
      <c r="GB57" s="184"/>
      <c r="GC57" s="184"/>
      <c r="GD57" s="184"/>
      <c r="GE57" s="184"/>
      <c r="GF57" s="184"/>
      <c r="GG57" s="184"/>
      <c r="GH57" s="184"/>
      <c r="GI57" s="184"/>
      <c r="GJ57" s="184"/>
      <c r="GK57" s="184"/>
      <c r="GL57" s="184"/>
      <c r="GM57" s="184"/>
      <c r="GN57" s="184"/>
      <c r="GO57" s="184"/>
      <c r="GP57" s="184"/>
      <c r="GQ57" s="184"/>
      <c r="GR57" s="184"/>
      <c r="GS57" s="184"/>
      <c r="GT57" s="184"/>
      <c r="GU57" s="184"/>
      <c r="GV57" s="184"/>
      <c r="GW57" s="184"/>
      <c r="GX57" s="184"/>
      <c r="GY57" s="184"/>
      <c r="GZ57" s="184"/>
      <c r="HA57" s="184"/>
      <c r="HB57" s="184"/>
      <c r="HC57" s="184"/>
      <c r="HD57" s="184"/>
      <c r="HE57" s="184"/>
      <c r="HF57" s="184"/>
      <c r="HG57" s="184"/>
      <c r="HH57" s="184"/>
      <c r="HI57" s="184"/>
      <c r="HJ57" s="184"/>
      <c r="HK57" s="184"/>
      <c r="HL57" s="184"/>
      <c r="HM57" s="184"/>
      <c r="HN57" s="184"/>
      <c r="HO57" s="184"/>
      <c r="HP57" s="184"/>
      <c r="HQ57" s="184"/>
      <c r="HR57" s="184"/>
      <c r="HS57" s="184"/>
      <c r="HT57" s="184"/>
      <c r="HU57" s="184"/>
      <c r="HV57" s="184"/>
      <c r="HW57" s="184"/>
      <c r="HX57" s="184"/>
      <c r="HY57" s="184"/>
      <c r="HZ57" s="184"/>
      <c r="IA57" s="184"/>
      <c r="IB57" s="184"/>
      <c r="IC57" s="184"/>
      <c r="ID57" s="184"/>
      <c r="IE57" s="184"/>
      <c r="IF57" s="184"/>
      <c r="IG57" s="184"/>
      <c r="IH57" s="184"/>
      <c r="II57" s="184"/>
      <c r="IJ57" s="184"/>
      <c r="IK57" s="184"/>
      <c r="IL57" s="184"/>
      <c r="IM57" s="184"/>
      <c r="IN57" s="184"/>
      <c r="IO57" s="184"/>
      <c r="IP57" s="184"/>
      <c r="IQ57" s="184"/>
      <c r="IR57" s="184"/>
      <c r="IS57" s="184"/>
      <c r="IT57" s="184"/>
      <c r="IU57" s="184"/>
      <c r="IV57" s="184"/>
      <c r="IW57" s="184"/>
      <c r="IX57" s="184"/>
      <c r="IY57" s="184"/>
      <c r="IZ57" s="184"/>
      <c r="JA57" s="184"/>
      <c r="JB57" s="184"/>
      <c r="JC57" s="184"/>
      <c r="JD57" s="184"/>
      <c r="JE57" s="184"/>
      <c r="JF57" s="184"/>
      <c r="JG57" s="184"/>
      <c r="JH57" s="184"/>
      <c r="JI57" s="184"/>
      <c r="JJ57" s="184"/>
      <c r="JK57" s="184"/>
      <c r="JL57" s="184"/>
      <c r="JM57" s="184"/>
      <c r="JN57" s="184"/>
      <c r="JO57" s="184"/>
      <c r="JP57" s="184"/>
      <c r="JQ57" s="184"/>
      <c r="JR57" s="184"/>
      <c r="JS57" s="184"/>
      <c r="JT57" s="184"/>
      <c r="JU57" s="184"/>
      <c r="JV57" s="184"/>
      <c r="JW57" s="184"/>
      <c r="JX57" s="184"/>
      <c r="JY57" s="184"/>
      <c r="JZ57" s="184"/>
      <c r="KA57" s="184"/>
      <c r="KB57" s="184"/>
      <c r="KC57" s="184"/>
      <c r="KD57" s="184"/>
      <c r="KE57" s="184"/>
      <c r="KF57" s="184"/>
      <c r="KG57" s="184"/>
      <c r="KH57" s="184"/>
      <c r="KI57" s="184"/>
      <c r="KJ57" s="184"/>
      <c r="KK57" s="184"/>
      <c r="KL57" s="184"/>
      <c r="KM57" s="184"/>
      <c r="KN57" s="184"/>
      <c r="KO57" s="184"/>
      <c r="KP57" s="184"/>
      <c r="KQ57" s="184"/>
      <c r="KR57" s="184"/>
      <c r="KS57" s="184"/>
      <c r="KT57" s="184"/>
      <c r="KU57" s="184"/>
      <c r="KV57" s="184"/>
    </row>
    <row r="58" spans="1:308" x14ac:dyDescent="0.2">
      <c r="C58" s="34" t="s">
        <v>191</v>
      </c>
      <c r="D58" s="132"/>
      <c r="E58" s="132"/>
      <c r="F58" s="129"/>
      <c r="G58" s="132"/>
      <c r="H58" s="132"/>
      <c r="I58" s="35" t="s">
        <v>23</v>
      </c>
      <c r="L58" s="31"/>
      <c r="M58" s="32"/>
      <c r="Q58" s="26"/>
    </row>
    <row r="59" spans="1:308" x14ac:dyDescent="0.2">
      <c r="C59" s="34" t="s">
        <v>543</v>
      </c>
      <c r="D59" s="132"/>
      <c r="E59" s="132"/>
      <c r="F59" s="129"/>
      <c r="G59" s="132"/>
      <c r="H59" s="132"/>
      <c r="I59" s="35" t="s">
        <v>23</v>
      </c>
      <c r="L59" s="31"/>
      <c r="M59" s="32"/>
      <c r="Q59" s="26"/>
    </row>
    <row r="60" spans="1:308" x14ac:dyDescent="0.2">
      <c r="C60" s="34" t="s">
        <v>544</v>
      </c>
      <c r="D60" s="133"/>
      <c r="E60" s="134"/>
      <c r="F60" s="135"/>
      <c r="G60" s="134"/>
      <c r="H60" s="136"/>
      <c r="I60" s="35" t="s">
        <v>23</v>
      </c>
      <c r="J60" s="30" t="s">
        <v>49</v>
      </c>
      <c r="L60" s="31"/>
      <c r="M60" s="32"/>
      <c r="Q60" s="26"/>
    </row>
    <row r="62" spans="1:308" x14ac:dyDescent="0.2">
      <c r="C62" s="651" t="s">
        <v>601</v>
      </c>
      <c r="D62" s="595"/>
      <c r="E62" s="595"/>
      <c r="F62" s="99"/>
      <c r="G62" s="26"/>
      <c r="H62" s="26"/>
      <c r="I62" s="30"/>
    </row>
    <row r="63" spans="1:308" x14ac:dyDescent="0.2">
      <c r="C63" s="654"/>
      <c r="D63" s="649" t="s">
        <v>599</v>
      </c>
      <c r="E63" s="652" t="s">
        <v>570</v>
      </c>
      <c r="F63" s="653"/>
      <c r="G63" s="593"/>
      <c r="H63" s="50"/>
      <c r="I63" s="591" t="s">
        <v>16</v>
      </c>
    </row>
    <row r="64" spans="1:308" s="25" customFormat="1" ht="13.5" thickBot="1" x14ac:dyDescent="0.25">
      <c r="A64" s="171"/>
      <c r="C64" s="655"/>
      <c r="D64" s="650" t="s">
        <v>569</v>
      </c>
      <c r="E64" s="592" t="s">
        <v>565</v>
      </c>
      <c r="F64" s="592" t="s">
        <v>568</v>
      </c>
      <c r="G64" s="41" t="s">
        <v>567</v>
      </c>
      <c r="H64" s="71" t="s">
        <v>571</v>
      </c>
      <c r="I64" s="591"/>
      <c r="J64" s="44"/>
      <c r="K64" s="44"/>
      <c r="L64" s="44"/>
      <c r="M64" s="45"/>
      <c r="N64" s="121"/>
      <c r="O64" s="121"/>
      <c r="P64" s="121"/>
      <c r="Q64" s="12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1"/>
      <c r="CH64" s="171"/>
      <c r="CI64" s="171"/>
      <c r="CJ64" s="171"/>
      <c r="CK64" s="171"/>
      <c r="CL64" s="171"/>
      <c r="CM64" s="171"/>
      <c r="CN64" s="171"/>
      <c r="CO64" s="171"/>
      <c r="CP64" s="171"/>
      <c r="CQ64" s="171"/>
      <c r="CR64" s="171"/>
      <c r="CS64" s="171"/>
      <c r="CT64" s="171"/>
      <c r="CU64" s="171"/>
      <c r="CV64" s="171"/>
      <c r="CW64" s="171"/>
      <c r="CX64" s="171"/>
      <c r="CY64" s="171"/>
      <c r="CZ64" s="171"/>
      <c r="DA64" s="171"/>
      <c r="DB64" s="171"/>
      <c r="DC64" s="171"/>
      <c r="DD64" s="171"/>
      <c r="DE64" s="171"/>
      <c r="DF64" s="171"/>
      <c r="DG64" s="171"/>
      <c r="DH64" s="171"/>
      <c r="DI64" s="171"/>
      <c r="DJ64" s="171"/>
      <c r="DK64" s="171"/>
      <c r="DL64" s="171"/>
      <c r="DM64" s="171"/>
      <c r="DN64" s="171"/>
      <c r="DO64" s="171"/>
      <c r="DP64" s="171"/>
      <c r="DQ64" s="171"/>
      <c r="DR64" s="171"/>
      <c r="DS64" s="171"/>
      <c r="DT64" s="171"/>
      <c r="DU64" s="171"/>
      <c r="DV64" s="171"/>
      <c r="DW64" s="171"/>
      <c r="DX64" s="171"/>
      <c r="DY64" s="171"/>
      <c r="DZ64" s="171"/>
      <c r="EA64" s="171"/>
      <c r="EB64" s="171"/>
      <c r="EC64" s="171"/>
      <c r="ED64" s="171"/>
      <c r="EE64" s="171"/>
      <c r="EF64" s="171"/>
      <c r="EG64" s="171"/>
      <c r="EH64" s="171"/>
      <c r="EI64" s="171"/>
      <c r="EJ64" s="171"/>
      <c r="EK64" s="171"/>
      <c r="EL64" s="171"/>
      <c r="EM64" s="171"/>
      <c r="EN64" s="171"/>
      <c r="EO64" s="171"/>
      <c r="EP64" s="171"/>
      <c r="EQ64" s="171"/>
      <c r="ER64" s="171"/>
      <c r="ES64" s="171"/>
      <c r="ET64" s="171"/>
      <c r="EU64" s="171"/>
      <c r="EV64" s="171"/>
      <c r="EW64" s="171"/>
      <c r="EX64" s="171"/>
      <c r="EY64" s="171"/>
      <c r="EZ64" s="171"/>
      <c r="FA64" s="171"/>
      <c r="FB64" s="171"/>
      <c r="FC64" s="171"/>
      <c r="FD64" s="171"/>
      <c r="FE64" s="171"/>
      <c r="FF64" s="171"/>
      <c r="FG64" s="171"/>
      <c r="FH64" s="171"/>
      <c r="FI64" s="171"/>
      <c r="FJ64" s="171"/>
      <c r="FK64" s="171"/>
      <c r="FL64" s="171"/>
      <c r="FM64" s="171"/>
      <c r="FN64" s="171"/>
      <c r="FO64" s="171"/>
      <c r="FP64" s="171"/>
      <c r="FQ64" s="171"/>
      <c r="FR64" s="171"/>
      <c r="FS64" s="171"/>
      <c r="FT64" s="171"/>
      <c r="FU64" s="171"/>
      <c r="FV64" s="171"/>
      <c r="FW64" s="171"/>
      <c r="FX64" s="171"/>
      <c r="FY64" s="171"/>
      <c r="FZ64" s="171"/>
      <c r="GA64" s="171"/>
      <c r="GB64" s="171"/>
      <c r="GC64" s="171"/>
      <c r="GD64" s="171"/>
      <c r="GE64" s="171"/>
      <c r="GF64" s="171"/>
      <c r="GG64" s="171"/>
      <c r="GH64" s="171"/>
      <c r="GI64" s="171"/>
      <c r="GJ64" s="171"/>
      <c r="GK64" s="171"/>
      <c r="GL64" s="171"/>
      <c r="GM64" s="171"/>
      <c r="GN64" s="171"/>
      <c r="GO64" s="171"/>
      <c r="GP64" s="171"/>
      <c r="GQ64" s="171"/>
      <c r="GR64" s="171"/>
      <c r="GS64" s="171"/>
      <c r="GT64" s="171"/>
      <c r="GU64" s="171"/>
      <c r="GV64" s="171"/>
      <c r="GW64" s="171"/>
      <c r="GX64" s="171"/>
      <c r="GY64" s="171"/>
      <c r="GZ64" s="171"/>
      <c r="HA64" s="171"/>
      <c r="HB64" s="171"/>
      <c r="HC64" s="171"/>
      <c r="HD64" s="171"/>
      <c r="HE64" s="171"/>
      <c r="HF64" s="171"/>
      <c r="HG64" s="171"/>
      <c r="HH64" s="171"/>
      <c r="HI64" s="171"/>
      <c r="HJ64" s="171"/>
      <c r="HK64" s="171"/>
      <c r="HL64" s="171"/>
      <c r="HM64" s="171"/>
      <c r="HN64" s="171"/>
      <c r="HO64" s="171"/>
      <c r="HP64" s="171"/>
      <c r="HQ64" s="171"/>
      <c r="HR64" s="171"/>
      <c r="HS64" s="171"/>
      <c r="HT64" s="171"/>
      <c r="HU64" s="171"/>
      <c r="HV64" s="171"/>
      <c r="HW64" s="171"/>
      <c r="HX64" s="171"/>
      <c r="HY64" s="171"/>
      <c r="HZ64" s="171"/>
      <c r="IA64" s="171"/>
      <c r="IB64" s="171"/>
      <c r="IC64" s="171"/>
      <c r="ID64" s="171"/>
      <c r="IE64" s="171"/>
      <c r="IF64" s="171"/>
      <c r="IG64" s="171"/>
      <c r="IH64" s="171"/>
      <c r="II64" s="171"/>
      <c r="IJ64" s="171"/>
      <c r="IK64" s="171"/>
      <c r="IL64" s="171"/>
      <c r="IM64" s="171"/>
      <c r="IN64" s="171"/>
      <c r="IO64" s="171"/>
      <c r="IP64" s="171"/>
      <c r="IQ64" s="171"/>
      <c r="IR64" s="171"/>
      <c r="IS64" s="171"/>
      <c r="IT64" s="171"/>
      <c r="IU64" s="171"/>
      <c r="IV64" s="171"/>
      <c r="IW64" s="171"/>
      <c r="IX64" s="171"/>
      <c r="IY64" s="171"/>
      <c r="IZ64" s="171"/>
      <c r="JA64" s="171"/>
      <c r="JB64" s="171"/>
      <c r="JC64" s="171"/>
      <c r="JD64" s="171"/>
      <c r="JE64" s="171"/>
      <c r="JF64" s="171"/>
      <c r="JG64" s="171"/>
      <c r="JH64" s="171"/>
      <c r="JI64" s="171"/>
      <c r="JJ64" s="171"/>
      <c r="JK64" s="171"/>
      <c r="JL64" s="171"/>
      <c r="JM64" s="171"/>
      <c r="JN64" s="171"/>
      <c r="JO64" s="171"/>
      <c r="JP64" s="171"/>
      <c r="JQ64" s="171"/>
      <c r="JR64" s="171"/>
      <c r="JS64" s="171"/>
      <c r="JT64" s="171"/>
      <c r="JU64" s="171"/>
      <c r="JV64" s="171"/>
      <c r="JW64" s="171"/>
      <c r="JX64" s="171"/>
      <c r="JY64" s="171"/>
      <c r="JZ64" s="171"/>
      <c r="KA64" s="171"/>
      <c r="KB64" s="171"/>
      <c r="KC64" s="171"/>
      <c r="KD64" s="171"/>
      <c r="KE64" s="171"/>
      <c r="KF64" s="171"/>
      <c r="KG64" s="171"/>
      <c r="KH64" s="171"/>
      <c r="KI64" s="171"/>
      <c r="KJ64" s="171"/>
      <c r="KK64" s="171"/>
      <c r="KL64" s="171"/>
      <c r="KM64" s="171"/>
      <c r="KN64" s="171"/>
      <c r="KO64" s="171"/>
      <c r="KP64" s="171"/>
      <c r="KQ64" s="171"/>
      <c r="KR64" s="171"/>
      <c r="KS64" s="171"/>
      <c r="KT64" s="171"/>
      <c r="KU64" s="171"/>
      <c r="KV64" s="171"/>
    </row>
    <row r="65" spans="3:16" ht="14.25" thickTop="1" thickBot="1" x14ac:dyDescent="0.25">
      <c r="C65" s="554" t="s">
        <v>0</v>
      </c>
      <c r="D65" s="207">
        <f>'Capital Costs Details'!D151</f>
        <v>0</v>
      </c>
      <c r="E65" s="129"/>
      <c r="F65" s="132"/>
      <c r="G65" s="132"/>
      <c r="H65" s="37"/>
      <c r="I65" s="35" t="s">
        <v>23</v>
      </c>
      <c r="M65" s="28" t="s">
        <v>23</v>
      </c>
    </row>
    <row r="66" spans="3:16" ht="14.25" thickTop="1" thickBot="1" x14ac:dyDescent="0.25">
      <c r="C66" s="34" t="s">
        <v>1</v>
      </c>
      <c r="D66" s="207">
        <f>'Capital Costs Details'!E151</f>
        <v>0</v>
      </c>
      <c r="E66" s="129"/>
      <c r="F66" s="132"/>
      <c r="G66" s="132"/>
      <c r="H66" s="37"/>
      <c r="I66" s="35" t="str">
        <f>I65</f>
        <v>KES</v>
      </c>
      <c r="M66" s="28"/>
      <c r="N66" s="28"/>
      <c r="O66" s="28"/>
      <c r="P66" s="28"/>
    </row>
    <row r="67" spans="3:16" ht="14.25" thickTop="1" thickBot="1" x14ac:dyDescent="0.25">
      <c r="C67" s="34" t="s">
        <v>126</v>
      </c>
      <c r="D67" s="207">
        <f>'Capital Costs Details'!F151</f>
        <v>0</v>
      </c>
      <c r="E67" s="129"/>
      <c r="F67" s="132"/>
      <c r="G67" s="132"/>
      <c r="H67" s="37"/>
      <c r="I67" s="35" t="str">
        <f>I65</f>
        <v>KES</v>
      </c>
    </row>
    <row r="68" spans="3:16" ht="14.25" thickTop="1" thickBot="1" x14ac:dyDescent="0.25">
      <c r="C68" s="77" t="s">
        <v>17</v>
      </c>
      <c r="D68" s="590">
        <f>SUM(D65:D67)</f>
        <v>0</v>
      </c>
      <c r="E68" s="590"/>
      <c r="F68" s="590"/>
      <c r="G68" s="590"/>
      <c r="H68" s="590"/>
      <c r="I68" s="594" t="str">
        <f>I65</f>
        <v>KES</v>
      </c>
    </row>
    <row r="69" spans="3:16" ht="13.5" thickTop="1" x14ac:dyDescent="0.2">
      <c r="K69" s="26"/>
    </row>
    <row r="70" spans="3:16" x14ac:dyDescent="0.2">
      <c r="C70" s="99" t="s">
        <v>377</v>
      </c>
      <c r="D70" s="99"/>
    </row>
    <row r="71" spans="3:16" x14ac:dyDescent="0.2">
      <c r="C71" s="34"/>
      <c r="D71" s="35" t="s">
        <v>35</v>
      </c>
      <c r="E71" s="35" t="s">
        <v>14</v>
      </c>
    </row>
    <row r="72" spans="3:16" x14ac:dyDescent="0.2">
      <c r="C72" s="34" t="s">
        <v>338</v>
      </c>
      <c r="D72" s="208">
        <v>30</v>
      </c>
      <c r="E72" s="35" t="s">
        <v>337</v>
      </c>
    </row>
    <row r="73" spans="3:16" ht="15" x14ac:dyDescent="0.25">
      <c r="C73" s="34" t="s">
        <v>339</v>
      </c>
      <c r="D73" s="635">
        <f>(D27+D29+D30+D31+D37+D43+D78*D85)*D72/360</f>
        <v>0</v>
      </c>
      <c r="E73" s="35" t="str">
        <f>I65</f>
        <v>KES</v>
      </c>
      <c r="F73" s="27" t="s">
        <v>336</v>
      </c>
    </row>
    <row r="75" spans="3:16" x14ac:dyDescent="0.2">
      <c r="C75" s="99" t="s">
        <v>378</v>
      </c>
    </row>
    <row r="76" spans="3:16" x14ac:dyDescent="0.2">
      <c r="C76" s="34"/>
      <c r="D76" s="33" t="s">
        <v>35</v>
      </c>
      <c r="E76" s="33" t="s">
        <v>14</v>
      </c>
    </row>
    <row r="77" spans="3:16" x14ac:dyDescent="0.2">
      <c r="C77" s="47" t="s">
        <v>194</v>
      </c>
      <c r="D77" s="223"/>
      <c r="E77" s="35" t="s">
        <v>13</v>
      </c>
    </row>
    <row r="78" spans="3:16" x14ac:dyDescent="0.2">
      <c r="C78" s="47" t="s">
        <v>290</v>
      </c>
      <c r="D78" s="222"/>
      <c r="E78" s="35" t="s">
        <v>13</v>
      </c>
    </row>
    <row r="79" spans="3:16" x14ac:dyDescent="0.2">
      <c r="C79" s="47" t="s">
        <v>31</v>
      </c>
      <c r="D79" s="137"/>
      <c r="E79" s="35" t="s">
        <v>32</v>
      </c>
    </row>
    <row r="81" spans="1:308" x14ac:dyDescent="0.2">
      <c r="C81" s="99" t="s">
        <v>379</v>
      </c>
      <c r="D81" s="99"/>
    </row>
    <row r="82" spans="1:308" x14ac:dyDescent="0.2">
      <c r="C82" s="48"/>
      <c r="D82" s="49" t="s">
        <v>35</v>
      </c>
      <c r="E82" s="50"/>
      <c r="F82" s="51"/>
      <c r="G82" s="52"/>
      <c r="H82" s="53" t="s">
        <v>38</v>
      </c>
      <c r="K82" s="54"/>
      <c r="M82" s="55"/>
    </row>
    <row r="83" spans="1:308" s="66" customFormat="1" x14ac:dyDescent="0.2">
      <c r="A83" s="185"/>
      <c r="C83" s="56"/>
      <c r="D83" s="57" t="s">
        <v>36</v>
      </c>
      <c r="E83" s="58" t="s">
        <v>37</v>
      </c>
      <c r="F83" s="59" t="s">
        <v>562</v>
      </c>
      <c r="G83" s="60" t="s">
        <v>39</v>
      </c>
      <c r="H83" s="61" t="s">
        <v>204</v>
      </c>
      <c r="I83" s="62"/>
      <c r="J83" s="63"/>
      <c r="K83" s="64"/>
      <c r="L83" s="63"/>
      <c r="M83" s="6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c r="FL83" s="185"/>
      <c r="FM83" s="185"/>
      <c r="FN83" s="185"/>
      <c r="FO83" s="185"/>
      <c r="FP83" s="185"/>
      <c r="FQ83" s="185"/>
      <c r="FR83" s="185"/>
      <c r="FS83" s="185"/>
      <c r="FT83" s="185"/>
      <c r="FU83" s="185"/>
      <c r="FV83" s="185"/>
      <c r="FW83" s="185"/>
      <c r="FX83" s="185"/>
      <c r="FY83" s="185"/>
      <c r="FZ83" s="185"/>
      <c r="GA83" s="185"/>
      <c r="GB83" s="185"/>
      <c r="GC83" s="185"/>
      <c r="GD83" s="185"/>
      <c r="GE83" s="185"/>
      <c r="GF83" s="185"/>
      <c r="GG83" s="185"/>
      <c r="GH83" s="185"/>
      <c r="GI83" s="185"/>
      <c r="GJ83" s="185"/>
      <c r="GK83" s="185"/>
      <c r="GL83" s="185"/>
      <c r="GM83" s="185"/>
      <c r="GN83" s="185"/>
      <c r="GO83" s="185"/>
      <c r="GP83" s="185"/>
      <c r="GQ83" s="185"/>
      <c r="GR83" s="185"/>
      <c r="GS83" s="185"/>
      <c r="GT83" s="185"/>
      <c r="GU83" s="185"/>
      <c r="GV83" s="185"/>
      <c r="GW83" s="185"/>
      <c r="GX83" s="185"/>
      <c r="GY83" s="185"/>
      <c r="GZ83" s="185"/>
      <c r="HA83" s="185"/>
      <c r="HB83" s="185"/>
      <c r="HC83" s="185"/>
      <c r="HD83" s="185"/>
      <c r="HE83" s="185"/>
      <c r="HF83" s="185"/>
      <c r="HG83" s="185"/>
      <c r="HH83" s="185"/>
      <c r="HI83" s="185"/>
      <c r="HJ83" s="185"/>
      <c r="HK83" s="185"/>
      <c r="HL83" s="185"/>
      <c r="HM83" s="185"/>
      <c r="HN83" s="185"/>
      <c r="HO83" s="185"/>
      <c r="HP83" s="185"/>
      <c r="HQ83" s="185"/>
      <c r="HR83" s="185"/>
      <c r="HS83" s="185"/>
      <c r="HT83" s="185"/>
      <c r="HU83" s="185"/>
      <c r="HV83" s="185"/>
      <c r="HW83" s="185"/>
      <c r="HX83" s="185"/>
      <c r="HY83" s="185"/>
      <c r="HZ83" s="185"/>
      <c r="IA83" s="185"/>
      <c r="IB83" s="185"/>
      <c r="IC83" s="185"/>
      <c r="ID83" s="185"/>
      <c r="IE83" s="185"/>
      <c r="IF83" s="185"/>
      <c r="IG83" s="185"/>
      <c r="IH83" s="185"/>
      <c r="II83" s="185"/>
      <c r="IJ83" s="185"/>
      <c r="IK83" s="185"/>
      <c r="IL83" s="185"/>
      <c r="IM83" s="185"/>
      <c r="IN83" s="185"/>
      <c r="IO83" s="185"/>
      <c r="IP83" s="185"/>
      <c r="IQ83" s="185"/>
      <c r="IR83" s="185"/>
      <c r="IS83" s="185"/>
      <c r="IT83" s="185"/>
      <c r="IU83" s="185"/>
      <c r="IV83" s="185"/>
      <c r="IW83" s="185"/>
      <c r="IX83" s="185"/>
      <c r="IY83" s="185"/>
      <c r="IZ83" s="185"/>
      <c r="JA83" s="185"/>
      <c r="JB83" s="185"/>
      <c r="JC83" s="185"/>
      <c r="JD83" s="185"/>
      <c r="JE83" s="185"/>
      <c r="JF83" s="185"/>
      <c r="JG83" s="185"/>
      <c r="JH83" s="185"/>
      <c r="JI83" s="185"/>
      <c r="JJ83" s="185"/>
      <c r="JK83" s="185"/>
      <c r="JL83" s="185"/>
      <c r="JM83" s="185"/>
      <c r="JN83" s="185"/>
      <c r="JO83" s="185"/>
      <c r="JP83" s="185"/>
      <c r="JQ83" s="185"/>
      <c r="JR83" s="185"/>
      <c r="JS83" s="185"/>
      <c r="JT83" s="185"/>
      <c r="JU83" s="185"/>
      <c r="JV83" s="185"/>
      <c r="JW83" s="185"/>
      <c r="JX83" s="185"/>
      <c r="JY83" s="185"/>
      <c r="JZ83" s="185"/>
      <c r="KA83" s="185"/>
      <c r="KB83" s="185"/>
      <c r="KC83" s="185"/>
      <c r="KD83" s="185"/>
      <c r="KE83" s="185"/>
      <c r="KF83" s="185"/>
      <c r="KG83" s="185"/>
      <c r="KH83" s="185"/>
      <c r="KI83" s="185"/>
      <c r="KJ83" s="185"/>
      <c r="KK83" s="185"/>
      <c r="KL83" s="185"/>
      <c r="KM83" s="185"/>
      <c r="KN83" s="185"/>
      <c r="KO83" s="185"/>
      <c r="KP83" s="185"/>
      <c r="KQ83" s="185"/>
      <c r="KR83" s="185"/>
      <c r="KS83" s="185"/>
      <c r="KT83" s="185"/>
      <c r="KU83" s="185"/>
      <c r="KV83" s="185"/>
    </row>
    <row r="84" spans="1:308" x14ac:dyDescent="0.2">
      <c r="C84" s="209" t="s">
        <v>21</v>
      </c>
      <c r="D84" s="210">
        <f>D68*E84</f>
        <v>0</v>
      </c>
      <c r="E84" s="213">
        <v>0.3</v>
      </c>
      <c r="F84" s="213"/>
      <c r="G84" s="211">
        <f>D91</f>
        <v>0.3</v>
      </c>
      <c r="H84" s="212">
        <f>F84*(1-G84)*E84</f>
        <v>0</v>
      </c>
      <c r="J84" s="67"/>
      <c r="K84" s="67"/>
      <c r="M84" s="68"/>
    </row>
    <row r="85" spans="1:308" x14ac:dyDescent="0.2">
      <c r="C85" s="580" t="s">
        <v>26</v>
      </c>
      <c r="D85" s="581">
        <f>E85*D68</f>
        <v>0</v>
      </c>
      <c r="E85" s="582">
        <f>1-E84</f>
        <v>0.7</v>
      </c>
      <c r="F85" s="582">
        <f>D78</f>
        <v>0</v>
      </c>
      <c r="G85" s="582">
        <f>D91</f>
        <v>0.3</v>
      </c>
      <c r="H85" s="583">
        <f>F85*(1-G85)*E85</f>
        <v>0</v>
      </c>
      <c r="J85" s="67"/>
      <c r="K85" s="67"/>
      <c r="L85" s="67"/>
      <c r="M85" s="68"/>
    </row>
    <row r="86" spans="1:308" s="25" customFormat="1" ht="12" customHeight="1" thickBot="1" x14ac:dyDescent="0.3">
      <c r="A86" s="171"/>
      <c r="C86" s="585" t="s">
        <v>27</v>
      </c>
      <c r="D86" s="586"/>
      <c r="E86" s="596">
        <f>SUM(E84:E85)</f>
        <v>1</v>
      </c>
      <c r="F86" s="206"/>
      <c r="G86" s="206"/>
      <c r="H86" s="587">
        <f>H85+H84</f>
        <v>0</v>
      </c>
      <c r="I86" s="43"/>
      <c r="J86" s="44"/>
      <c r="K86" s="44"/>
      <c r="L86" s="44"/>
      <c r="M86" s="70"/>
      <c r="N86" s="121"/>
      <c r="O86" s="121"/>
      <c r="P86" s="121"/>
      <c r="Q86" s="12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171"/>
      <c r="BY86" s="171"/>
      <c r="BZ86" s="171"/>
      <c r="CA86" s="171"/>
      <c r="CB86" s="171"/>
      <c r="CC86" s="171"/>
      <c r="CD86" s="171"/>
      <c r="CE86" s="171"/>
      <c r="CF86" s="171"/>
      <c r="CG86" s="171"/>
      <c r="CH86" s="171"/>
      <c r="CI86" s="171"/>
      <c r="CJ86" s="171"/>
      <c r="CK86" s="171"/>
      <c r="CL86" s="171"/>
      <c r="CM86" s="171"/>
      <c r="CN86" s="171"/>
      <c r="CO86" s="171"/>
      <c r="CP86" s="171"/>
      <c r="CQ86" s="171"/>
      <c r="CR86" s="171"/>
      <c r="CS86" s="171"/>
      <c r="CT86" s="171"/>
      <c r="CU86" s="171"/>
      <c r="CV86" s="171"/>
      <c r="CW86" s="171"/>
      <c r="CX86" s="171"/>
      <c r="CY86" s="171"/>
      <c r="CZ86" s="171"/>
      <c r="DA86" s="171"/>
      <c r="DB86" s="171"/>
      <c r="DC86" s="171"/>
      <c r="DD86" s="171"/>
      <c r="DE86" s="171"/>
      <c r="DF86" s="171"/>
      <c r="DG86" s="171"/>
      <c r="DH86" s="171"/>
      <c r="DI86" s="171"/>
      <c r="DJ86" s="171"/>
      <c r="DK86" s="171"/>
      <c r="DL86" s="171"/>
      <c r="DM86" s="171"/>
      <c r="DN86" s="171"/>
      <c r="DO86" s="171"/>
      <c r="DP86" s="171"/>
      <c r="DQ86" s="171"/>
      <c r="DR86" s="171"/>
      <c r="DS86" s="171"/>
      <c r="DT86" s="171"/>
      <c r="DU86" s="171"/>
      <c r="DV86" s="171"/>
      <c r="DW86" s="171"/>
      <c r="DX86" s="171"/>
      <c r="DY86" s="171"/>
      <c r="DZ86" s="171"/>
      <c r="EA86" s="171"/>
      <c r="EB86" s="171"/>
      <c r="EC86" s="171"/>
      <c r="ED86" s="171"/>
      <c r="EE86" s="171"/>
      <c r="EF86" s="171"/>
      <c r="EG86" s="171"/>
      <c r="EH86" s="171"/>
      <c r="EI86" s="171"/>
      <c r="EJ86" s="171"/>
      <c r="EK86" s="171"/>
      <c r="EL86" s="171"/>
      <c r="EM86" s="171"/>
      <c r="EN86" s="171"/>
      <c r="EO86" s="171"/>
      <c r="EP86" s="171"/>
      <c r="EQ86" s="171"/>
      <c r="ER86" s="171"/>
      <c r="ES86" s="171"/>
      <c r="ET86" s="171"/>
      <c r="EU86" s="171"/>
      <c r="EV86" s="171"/>
      <c r="EW86" s="171"/>
      <c r="EX86" s="171"/>
      <c r="EY86" s="171"/>
      <c r="EZ86" s="171"/>
      <c r="FA86" s="171"/>
      <c r="FB86" s="171"/>
      <c r="FC86" s="171"/>
      <c r="FD86" s="171"/>
      <c r="FE86" s="171"/>
      <c r="FF86" s="171"/>
      <c r="FG86" s="171"/>
      <c r="FH86" s="171"/>
      <c r="FI86" s="171"/>
      <c r="FJ86" s="171"/>
      <c r="FK86" s="171"/>
      <c r="FL86" s="171"/>
      <c r="FM86" s="171"/>
      <c r="FN86" s="171"/>
      <c r="FO86" s="171"/>
      <c r="FP86" s="171"/>
      <c r="FQ86" s="171"/>
      <c r="FR86" s="171"/>
      <c r="FS86" s="171"/>
      <c r="FT86" s="171"/>
      <c r="FU86" s="171"/>
      <c r="FV86" s="171"/>
      <c r="FW86" s="171"/>
      <c r="FX86" s="171"/>
      <c r="FY86" s="171"/>
      <c r="FZ86" s="171"/>
      <c r="GA86" s="171"/>
      <c r="GB86" s="171"/>
      <c r="GC86" s="171"/>
      <c r="GD86" s="171"/>
      <c r="GE86" s="171"/>
      <c r="GF86" s="171"/>
      <c r="GG86" s="171"/>
      <c r="GH86" s="171"/>
      <c r="GI86" s="171"/>
      <c r="GJ86" s="171"/>
      <c r="GK86" s="171"/>
      <c r="GL86" s="171"/>
      <c r="GM86" s="171"/>
      <c r="GN86" s="171"/>
      <c r="GO86" s="171"/>
      <c r="GP86" s="171"/>
      <c r="GQ86" s="171"/>
      <c r="GR86" s="171"/>
      <c r="GS86" s="171"/>
      <c r="GT86" s="171"/>
      <c r="GU86" s="171"/>
      <c r="GV86" s="171"/>
      <c r="GW86" s="171"/>
      <c r="GX86" s="171"/>
      <c r="GY86" s="171"/>
      <c r="GZ86" s="171"/>
      <c r="HA86" s="171"/>
      <c r="HB86" s="171"/>
      <c r="HC86" s="171"/>
      <c r="HD86" s="171"/>
      <c r="HE86" s="171"/>
      <c r="HF86" s="171"/>
      <c r="HG86" s="171"/>
      <c r="HH86" s="171"/>
      <c r="HI86" s="171"/>
      <c r="HJ86" s="171"/>
      <c r="HK86" s="171"/>
      <c r="HL86" s="171"/>
      <c r="HM86" s="171"/>
      <c r="HN86" s="171"/>
      <c r="HO86" s="171"/>
      <c r="HP86" s="171"/>
      <c r="HQ86" s="171"/>
      <c r="HR86" s="171"/>
      <c r="HS86" s="171"/>
      <c r="HT86" s="171"/>
      <c r="HU86" s="171"/>
      <c r="HV86" s="171"/>
      <c r="HW86" s="171"/>
      <c r="HX86" s="171"/>
      <c r="HY86" s="171"/>
      <c r="HZ86" s="171"/>
      <c r="IA86" s="171"/>
      <c r="IB86" s="171"/>
      <c r="IC86" s="171"/>
      <c r="ID86" s="171"/>
      <c r="IE86" s="171"/>
      <c r="IF86" s="171"/>
      <c r="IG86" s="171"/>
      <c r="IH86" s="171"/>
      <c r="II86" s="171"/>
      <c r="IJ86" s="171"/>
      <c r="IK86" s="171"/>
      <c r="IL86" s="171"/>
      <c r="IM86" s="171"/>
      <c r="IN86" s="171"/>
      <c r="IO86" s="171"/>
      <c r="IP86" s="171"/>
      <c r="IQ86" s="171"/>
      <c r="IR86" s="171"/>
      <c r="IS86" s="171"/>
      <c r="IT86" s="171"/>
      <c r="IU86" s="171"/>
      <c r="IV86" s="171"/>
      <c r="IW86" s="171"/>
      <c r="IX86" s="171"/>
      <c r="IY86" s="171"/>
      <c r="IZ86" s="171"/>
      <c r="JA86" s="171"/>
      <c r="JB86" s="171"/>
      <c r="JC86" s="171"/>
      <c r="JD86" s="171"/>
      <c r="JE86" s="171"/>
      <c r="JF86" s="171"/>
      <c r="JG86" s="171"/>
      <c r="JH86" s="171"/>
      <c r="JI86" s="171"/>
      <c r="JJ86" s="171"/>
      <c r="JK86" s="171"/>
      <c r="JL86" s="171"/>
      <c r="JM86" s="171"/>
      <c r="JN86" s="171"/>
      <c r="JO86" s="171"/>
      <c r="JP86" s="171"/>
      <c r="JQ86" s="171"/>
      <c r="JR86" s="171"/>
      <c r="JS86" s="171"/>
      <c r="JT86" s="171"/>
      <c r="JU86" s="171"/>
      <c r="JV86" s="171"/>
      <c r="JW86" s="171"/>
      <c r="JX86" s="171"/>
      <c r="JY86" s="171"/>
      <c r="JZ86" s="171"/>
      <c r="KA86" s="171"/>
      <c r="KB86" s="171"/>
      <c r="KC86" s="171"/>
      <c r="KD86" s="171"/>
      <c r="KE86" s="171"/>
      <c r="KF86" s="171"/>
      <c r="KG86" s="171"/>
      <c r="KH86" s="171"/>
      <c r="KI86" s="171"/>
      <c r="KJ86" s="171"/>
      <c r="KK86" s="171"/>
      <c r="KL86" s="171"/>
      <c r="KM86" s="171"/>
      <c r="KN86" s="171"/>
      <c r="KO86" s="171"/>
      <c r="KP86" s="171"/>
      <c r="KQ86" s="171"/>
      <c r="KR86" s="171"/>
      <c r="KS86" s="171"/>
      <c r="KT86" s="171"/>
      <c r="KU86" s="171"/>
      <c r="KV86" s="171"/>
    </row>
    <row r="87" spans="1:308" ht="13.5" thickTop="1" x14ac:dyDescent="0.2">
      <c r="C87" s="238" t="s">
        <v>321</v>
      </c>
      <c r="D87" s="584"/>
      <c r="E87" s="597">
        <v>0.5</v>
      </c>
      <c r="H87" s="27"/>
      <c r="I87" s="27"/>
    </row>
    <row r="89" spans="1:308" x14ac:dyDescent="0.2">
      <c r="C89" s="99" t="s">
        <v>380</v>
      </c>
    </row>
    <row r="90" spans="1:308" x14ac:dyDescent="0.2">
      <c r="C90" s="34"/>
      <c r="D90" s="33" t="s">
        <v>35</v>
      </c>
      <c r="E90" s="42" t="s">
        <v>14</v>
      </c>
    </row>
    <row r="91" spans="1:308" x14ac:dyDescent="0.2">
      <c r="C91" s="34" t="s">
        <v>291</v>
      </c>
      <c r="D91" s="213">
        <v>0.3</v>
      </c>
      <c r="E91" s="35" t="s">
        <v>13</v>
      </c>
    </row>
    <row r="92" spans="1:308" x14ac:dyDescent="0.2">
      <c r="C92" s="34" t="s">
        <v>238</v>
      </c>
      <c r="D92" s="138">
        <v>0.04</v>
      </c>
      <c r="E92" s="35" t="s">
        <v>13</v>
      </c>
    </row>
    <row r="93" spans="1:308" x14ac:dyDescent="0.2">
      <c r="C93" s="47" t="s">
        <v>344</v>
      </c>
      <c r="D93" s="138"/>
      <c r="E93" s="35" t="s">
        <v>13</v>
      </c>
    </row>
    <row r="94" spans="1:308" x14ac:dyDescent="0.2">
      <c r="C94" s="34" t="s">
        <v>128</v>
      </c>
      <c r="D94" s="214"/>
      <c r="E94" s="35" t="s">
        <v>23</v>
      </c>
    </row>
    <row r="96" spans="1:308" x14ac:dyDescent="0.2">
      <c r="C96" s="99" t="s">
        <v>381</v>
      </c>
    </row>
    <row r="97" spans="1:308" x14ac:dyDescent="0.2">
      <c r="C97" s="34"/>
      <c r="D97" s="33" t="s">
        <v>35</v>
      </c>
      <c r="E97" s="42" t="s">
        <v>14</v>
      </c>
    </row>
    <row r="98" spans="1:308" x14ac:dyDescent="0.2">
      <c r="C98" s="47" t="s">
        <v>237</v>
      </c>
      <c r="D98" s="221"/>
      <c r="E98" s="35" t="str">
        <f>'Tariff Calculator'!D41</f>
        <v>KES/kWh</v>
      </c>
    </row>
    <row r="99" spans="1:308" x14ac:dyDescent="0.2">
      <c r="C99" s="47" t="s">
        <v>254</v>
      </c>
      <c r="D99" s="598">
        <v>0.15</v>
      </c>
      <c r="E99" s="35" t="s">
        <v>13</v>
      </c>
      <c r="H99" s="217"/>
    </row>
    <row r="100" spans="1:308" x14ac:dyDescent="0.2">
      <c r="C100" s="47" t="s">
        <v>266</v>
      </c>
      <c r="D100" s="599">
        <v>0.52500000000000002</v>
      </c>
      <c r="E100" s="35" t="s">
        <v>13</v>
      </c>
      <c r="H100" s="217"/>
    </row>
    <row r="101" spans="1:308" s="88" customFormat="1" x14ac:dyDescent="0.2">
      <c r="A101" s="186"/>
      <c r="C101" s="80" t="s">
        <v>297</v>
      </c>
      <c r="D101" s="80" t="s">
        <v>272</v>
      </c>
      <c r="E101" s="81" t="s">
        <v>289</v>
      </c>
      <c r="F101" s="81" t="s">
        <v>258</v>
      </c>
      <c r="G101" s="81" t="s">
        <v>257</v>
      </c>
      <c r="H101" s="218"/>
      <c r="I101" s="82"/>
      <c r="J101" s="82"/>
      <c r="K101" s="83"/>
      <c r="L101" s="84"/>
      <c r="M101" s="85"/>
      <c r="N101" s="85"/>
      <c r="O101" s="85"/>
      <c r="P101" s="86"/>
      <c r="Q101" s="87"/>
      <c r="R101" s="87"/>
      <c r="S101" s="87"/>
      <c r="T101" s="192"/>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6"/>
      <c r="BX101" s="186"/>
      <c r="BY101" s="186"/>
      <c r="BZ101" s="186"/>
      <c r="CA101" s="186"/>
      <c r="CB101" s="186"/>
      <c r="CC101" s="186"/>
      <c r="CD101" s="186"/>
      <c r="CE101" s="186"/>
      <c r="CF101" s="186"/>
      <c r="CG101" s="186"/>
      <c r="CH101" s="186"/>
      <c r="CI101" s="186"/>
      <c r="CJ101" s="186"/>
      <c r="CK101" s="186"/>
      <c r="CL101" s="186"/>
      <c r="CM101" s="186"/>
      <c r="CN101" s="186"/>
      <c r="CO101" s="186"/>
      <c r="CP101" s="186"/>
      <c r="CQ101" s="186"/>
      <c r="CR101" s="186"/>
      <c r="CS101" s="186"/>
      <c r="CT101" s="186"/>
      <c r="CU101" s="186"/>
      <c r="CV101" s="186"/>
      <c r="CW101" s="186"/>
      <c r="CX101" s="186"/>
      <c r="CY101" s="186"/>
      <c r="CZ101" s="186"/>
      <c r="DA101" s="186"/>
      <c r="DB101" s="186"/>
      <c r="DC101" s="186"/>
      <c r="DD101" s="186"/>
      <c r="DE101" s="186"/>
      <c r="DF101" s="186"/>
      <c r="DG101" s="186"/>
      <c r="DH101" s="186"/>
      <c r="DI101" s="186"/>
      <c r="DJ101" s="186"/>
      <c r="DK101" s="186"/>
      <c r="DL101" s="186"/>
      <c r="DM101" s="186"/>
      <c r="DN101" s="186"/>
      <c r="DO101" s="186"/>
      <c r="DP101" s="186"/>
      <c r="DQ101" s="186"/>
      <c r="DR101" s="186"/>
      <c r="DS101" s="186"/>
      <c r="DT101" s="186"/>
      <c r="DU101" s="186"/>
      <c r="DV101" s="186"/>
      <c r="DW101" s="186"/>
      <c r="DX101" s="186"/>
      <c r="DY101" s="186"/>
      <c r="DZ101" s="186"/>
      <c r="EA101" s="186"/>
      <c r="EB101" s="186"/>
      <c r="EC101" s="186"/>
      <c r="ED101" s="186"/>
      <c r="EE101" s="186"/>
      <c r="EF101" s="186"/>
      <c r="EG101" s="186"/>
      <c r="EH101" s="186"/>
      <c r="EI101" s="186"/>
      <c r="EJ101" s="186"/>
      <c r="EK101" s="186"/>
      <c r="EL101" s="186"/>
      <c r="EM101" s="186"/>
      <c r="EN101" s="186"/>
      <c r="EO101" s="186"/>
      <c r="EP101" s="186"/>
      <c r="EQ101" s="186"/>
      <c r="ER101" s="186"/>
      <c r="ES101" s="186"/>
      <c r="ET101" s="186"/>
      <c r="EU101" s="186"/>
      <c r="EV101" s="186"/>
      <c r="EW101" s="186"/>
      <c r="EX101" s="186"/>
      <c r="EY101" s="186"/>
      <c r="EZ101" s="186"/>
      <c r="FA101" s="186"/>
      <c r="FB101" s="186"/>
      <c r="FC101" s="186"/>
      <c r="FD101" s="186"/>
      <c r="FE101" s="186"/>
      <c r="FF101" s="186"/>
      <c r="FG101" s="186"/>
      <c r="FH101" s="186"/>
      <c r="FI101" s="186"/>
      <c r="FJ101" s="186"/>
      <c r="FK101" s="186"/>
      <c r="FL101" s="186"/>
      <c r="FM101" s="186"/>
      <c r="FN101" s="186"/>
      <c r="FO101" s="186"/>
      <c r="FP101" s="186"/>
      <c r="FQ101" s="186"/>
      <c r="FR101" s="186"/>
      <c r="FS101" s="186"/>
      <c r="FT101" s="186"/>
      <c r="FU101" s="186"/>
      <c r="FV101" s="186"/>
      <c r="FW101" s="186"/>
      <c r="FX101" s="186"/>
      <c r="FY101" s="186"/>
      <c r="FZ101" s="186"/>
      <c r="GA101" s="186"/>
      <c r="GB101" s="186"/>
      <c r="GC101" s="186"/>
      <c r="GD101" s="186"/>
      <c r="GE101" s="186"/>
      <c r="GF101" s="186"/>
      <c r="GG101" s="186"/>
      <c r="GH101" s="186"/>
      <c r="GI101" s="186"/>
      <c r="GJ101" s="186"/>
      <c r="GK101" s="186"/>
      <c r="GL101" s="186"/>
      <c r="GM101" s="186"/>
      <c r="GN101" s="186"/>
      <c r="GO101" s="186"/>
      <c r="GP101" s="186"/>
      <c r="GQ101" s="186"/>
      <c r="GR101" s="186"/>
      <c r="GS101" s="186"/>
      <c r="GT101" s="186"/>
      <c r="GU101" s="186"/>
      <c r="GV101" s="186"/>
      <c r="GW101" s="186"/>
      <c r="GX101" s="186"/>
      <c r="GY101" s="186"/>
      <c r="GZ101" s="186"/>
      <c r="HA101" s="186"/>
      <c r="HB101" s="186"/>
      <c r="HC101" s="186"/>
      <c r="HD101" s="186"/>
      <c r="HE101" s="186"/>
      <c r="HF101" s="186"/>
      <c r="HG101" s="186"/>
      <c r="HH101" s="186"/>
      <c r="HI101" s="186"/>
      <c r="HJ101" s="186"/>
      <c r="HK101" s="186"/>
      <c r="HL101" s="186"/>
      <c r="HM101" s="186"/>
      <c r="HN101" s="186"/>
      <c r="HO101" s="186"/>
      <c r="HP101" s="186"/>
      <c r="HQ101" s="186"/>
      <c r="HR101" s="186"/>
      <c r="HS101" s="186"/>
      <c r="HT101" s="186"/>
      <c r="HU101" s="186"/>
      <c r="HV101" s="186"/>
      <c r="HW101" s="186"/>
      <c r="HX101" s="186"/>
      <c r="HY101" s="186"/>
      <c r="HZ101" s="186"/>
      <c r="IA101" s="186"/>
      <c r="IB101" s="186"/>
      <c r="IC101" s="186"/>
      <c r="ID101" s="186"/>
      <c r="IE101" s="186"/>
      <c r="IF101" s="186"/>
      <c r="IG101" s="186"/>
      <c r="IH101" s="186"/>
      <c r="II101" s="186"/>
      <c r="IJ101" s="186"/>
      <c r="IK101" s="186"/>
      <c r="IL101" s="186"/>
      <c r="IM101" s="186"/>
      <c r="IN101" s="186"/>
      <c r="IO101" s="186"/>
      <c r="IP101" s="186"/>
      <c r="IQ101" s="186"/>
      <c r="IR101" s="186"/>
      <c r="IS101" s="186"/>
      <c r="IT101" s="186"/>
      <c r="IU101" s="186"/>
      <c r="IV101" s="186"/>
      <c r="IW101" s="186"/>
      <c r="IX101" s="186"/>
      <c r="IY101" s="186"/>
      <c r="IZ101" s="186"/>
      <c r="JA101" s="186"/>
      <c r="JB101" s="186"/>
      <c r="JC101" s="186"/>
      <c r="JD101" s="186"/>
      <c r="JE101" s="186"/>
      <c r="JF101" s="186"/>
      <c r="JG101" s="186"/>
      <c r="JH101" s="186"/>
      <c r="JI101" s="186"/>
      <c r="JJ101" s="186"/>
      <c r="JK101" s="186"/>
      <c r="JL101" s="186"/>
      <c r="JM101" s="186"/>
      <c r="JN101" s="186"/>
      <c r="JO101" s="186"/>
      <c r="JP101" s="186"/>
      <c r="JQ101" s="186"/>
      <c r="JR101" s="186"/>
      <c r="JS101" s="186"/>
      <c r="JT101" s="186"/>
      <c r="JU101" s="186"/>
      <c r="JV101" s="186"/>
      <c r="JW101" s="186"/>
      <c r="JX101" s="186"/>
      <c r="JY101" s="186"/>
      <c r="JZ101" s="186"/>
      <c r="KA101" s="186"/>
      <c r="KB101" s="186"/>
      <c r="KC101" s="186"/>
      <c r="KD101" s="186"/>
      <c r="KE101" s="186"/>
      <c r="KF101" s="186"/>
      <c r="KG101" s="186"/>
      <c r="KH101" s="186"/>
      <c r="KI101" s="186"/>
      <c r="KJ101" s="186"/>
      <c r="KK101" s="186"/>
      <c r="KL101" s="186"/>
      <c r="KM101" s="186"/>
      <c r="KN101" s="186"/>
      <c r="KO101" s="186"/>
      <c r="KP101" s="186"/>
      <c r="KQ101" s="186"/>
      <c r="KR101" s="186"/>
      <c r="KS101" s="186"/>
      <c r="KT101" s="186"/>
      <c r="KU101" s="186"/>
      <c r="KV101" s="186"/>
    </row>
    <row r="102" spans="1:308" ht="13.5" thickBot="1" x14ac:dyDescent="0.25">
      <c r="C102" s="34" t="s">
        <v>346</v>
      </c>
      <c r="D102" s="641">
        <f>'Load Profile'!D34</f>
        <v>200</v>
      </c>
      <c r="E102" s="233">
        <v>0.03</v>
      </c>
      <c r="F102" s="232">
        <f>IF('Load Profile'!H32&gt;0,'Load Profile'!D32/'Load Profile'!H32,0)</f>
        <v>3.6357136787926105E-2</v>
      </c>
      <c r="G102" s="219">
        <f>(E102/F102)</f>
        <v>0.82514748548523609</v>
      </c>
      <c r="H102" s="31"/>
      <c r="I102" s="27"/>
      <c r="J102" s="27"/>
      <c r="K102" s="28"/>
      <c r="L102" s="29"/>
      <c r="M102" s="30"/>
      <c r="N102" s="30"/>
      <c r="O102" s="30"/>
      <c r="P102" s="31"/>
      <c r="R102" s="32"/>
      <c r="S102" s="32"/>
      <c r="T102" s="172"/>
    </row>
    <row r="103" spans="1:308" ht="14.25" thickTop="1" thickBot="1" x14ac:dyDescent="0.25">
      <c r="C103" s="34" t="s">
        <v>253</v>
      </c>
      <c r="D103" s="641">
        <f>'Load Profile'!E34</f>
        <v>15</v>
      </c>
      <c r="E103" s="234">
        <v>8.0000000000000002E-3</v>
      </c>
      <c r="F103" s="232">
        <f>IF('Load Profile'!H32&gt;0,'Load Profile'!E32/'Load Profile'!H32,0)</f>
        <v>8.6058792878666215E-3</v>
      </c>
      <c r="G103" s="219">
        <f t="shared" ref="G103:G105" si="0">(E103/F103)</f>
        <v>0.92959705015606631</v>
      </c>
      <c r="H103" s="31"/>
      <c r="I103" s="27"/>
      <c r="J103" s="27"/>
      <c r="K103" s="28"/>
      <c r="L103" s="29"/>
      <c r="M103" s="30"/>
      <c r="N103" s="30"/>
      <c r="O103" s="30"/>
      <c r="P103" s="31"/>
      <c r="R103" s="32"/>
      <c r="S103" s="32"/>
      <c r="T103" s="172"/>
    </row>
    <row r="104" spans="1:308" ht="14.25" thickTop="1" thickBot="1" x14ac:dyDescent="0.25">
      <c r="C104" s="47" t="s">
        <v>252</v>
      </c>
      <c r="D104" s="641">
        <f>'Load Profile'!F34</f>
        <v>300</v>
      </c>
      <c r="E104" s="234">
        <v>0.48</v>
      </c>
      <c r="F104" s="232">
        <f>IF('Load Profile'!H32,'Load Profile'!F32/'Load Profile'!H32,0)</f>
        <v>0.51171530273235699</v>
      </c>
      <c r="G104" s="219">
        <f t="shared" si="0"/>
        <v>0.93802158629415644</v>
      </c>
      <c r="H104" s="31"/>
      <c r="I104" s="27"/>
      <c r="J104" s="27"/>
      <c r="K104" s="28"/>
      <c r="L104" s="29"/>
      <c r="M104" s="30"/>
      <c r="N104" s="30"/>
      <c r="O104" s="30"/>
      <c r="P104" s="31"/>
      <c r="R104" s="32"/>
      <c r="S104" s="32"/>
      <c r="T104" s="172"/>
    </row>
    <row r="105" spans="1:308" ht="14.25" thickTop="1" thickBot="1" x14ac:dyDescent="0.25">
      <c r="C105" s="47" t="s">
        <v>255</v>
      </c>
      <c r="D105" s="641">
        <f>'Load Profile'!G34</f>
        <v>1</v>
      </c>
      <c r="E105" s="237">
        <v>0.48199999999999998</v>
      </c>
      <c r="F105" s="232">
        <f>IF('Load Profile'!H32,'Load Profile'!G32/'Load Profile'!H32,0)</f>
        <v>0.44332168119185023</v>
      </c>
      <c r="G105" s="219">
        <f t="shared" si="0"/>
        <v>1.0872466212438896</v>
      </c>
      <c r="H105" s="27" t="s">
        <v>383</v>
      </c>
      <c r="I105" s="26"/>
      <c r="J105" s="27"/>
      <c r="K105" s="28"/>
      <c r="L105" s="29"/>
      <c r="M105" s="30"/>
      <c r="N105" s="30"/>
      <c r="O105" s="30"/>
      <c r="P105" s="31"/>
      <c r="R105" s="32"/>
      <c r="S105" s="32"/>
      <c r="T105" s="172"/>
    </row>
    <row r="106" spans="1:308" ht="13.5" thickTop="1" x14ac:dyDescent="0.2">
      <c r="C106" s="216" t="s">
        <v>3</v>
      </c>
      <c r="D106" s="235">
        <f>SUM(D102:D105)</f>
        <v>516</v>
      </c>
      <c r="E106" s="236">
        <f>IF(SUM(E102:E105)=100%,SUM(E102:E105), "Error. The total must equal to 100%")</f>
        <v>1</v>
      </c>
      <c r="F106" s="215">
        <f>IF(SUM(F102:F105)=100%,SUM(F102:F105), "Error. The total must equal to 100%")</f>
        <v>0.99999999999999989</v>
      </c>
      <c r="G106" s="220"/>
      <c r="H106" s="29"/>
      <c r="I106" s="28"/>
      <c r="J106" s="29"/>
      <c r="M106" s="30"/>
      <c r="N106" s="31"/>
      <c r="R106" s="32"/>
    </row>
    <row r="107" spans="1:308" x14ac:dyDescent="0.2">
      <c r="D107" s="89"/>
      <c r="H107" s="217"/>
    </row>
    <row r="108" spans="1:308" x14ac:dyDescent="0.2">
      <c r="C108" s="99" t="s">
        <v>382</v>
      </c>
      <c r="D108" s="100"/>
      <c r="F108" s="26"/>
      <c r="G108" s="26"/>
      <c r="H108" s="26"/>
      <c r="I108" s="26"/>
      <c r="J108" s="26"/>
      <c r="K108" s="26"/>
      <c r="L108" s="26"/>
      <c r="M108" s="26"/>
      <c r="N108" s="26"/>
      <c r="O108" s="26"/>
      <c r="P108" s="26"/>
      <c r="Q108" s="26"/>
    </row>
    <row r="109" spans="1:308" x14ac:dyDescent="0.2">
      <c r="C109" s="166"/>
      <c r="D109" s="79" t="s">
        <v>35</v>
      </c>
      <c r="E109" s="41" t="s">
        <v>16</v>
      </c>
      <c r="F109" s="26"/>
      <c r="G109" s="30"/>
      <c r="H109" s="30"/>
      <c r="I109" s="26"/>
      <c r="J109" s="26"/>
      <c r="K109" s="26"/>
      <c r="L109" s="26"/>
      <c r="M109" s="26"/>
      <c r="N109" s="26"/>
      <c r="O109" s="26"/>
      <c r="P109" s="26"/>
      <c r="Q109" s="26"/>
    </row>
    <row r="110" spans="1:308" x14ac:dyDescent="0.2">
      <c r="B110" s="226"/>
      <c r="C110" s="34" t="s">
        <v>393</v>
      </c>
      <c r="D110" s="643"/>
      <c r="E110" s="231" t="s">
        <v>22</v>
      </c>
      <c r="F110" s="26"/>
      <c r="G110" s="30"/>
      <c r="H110" s="30"/>
      <c r="I110" s="26"/>
      <c r="J110" s="26"/>
      <c r="K110" s="26"/>
      <c r="L110" s="26"/>
      <c r="M110" s="28" t="s">
        <v>22</v>
      </c>
      <c r="N110" s="28" t="s">
        <v>25</v>
      </c>
      <c r="O110" s="28" t="s">
        <v>24</v>
      </c>
      <c r="P110" s="26"/>
      <c r="Q110" s="26"/>
    </row>
    <row r="111" spans="1:308" x14ac:dyDescent="0.2">
      <c r="B111" s="226"/>
      <c r="C111" s="75" t="s">
        <v>342</v>
      </c>
      <c r="D111" s="644"/>
      <c r="E111" s="225" t="s">
        <v>23</v>
      </c>
      <c r="F111" s="26"/>
      <c r="G111" s="30"/>
      <c r="H111" s="30"/>
      <c r="I111" s="26"/>
      <c r="J111" s="26"/>
      <c r="K111" s="26"/>
      <c r="L111" s="26"/>
      <c r="M111" s="26"/>
      <c r="N111" s="26"/>
      <c r="O111" s="26"/>
      <c r="P111" s="26"/>
      <c r="Q111" s="26"/>
    </row>
    <row r="112" spans="1:308" x14ac:dyDescent="0.2">
      <c r="B112" s="226"/>
      <c r="C112" s="75" t="s">
        <v>343</v>
      </c>
      <c r="D112" s="645"/>
      <c r="E112" s="225" t="str">
        <f>E111</f>
        <v>KES</v>
      </c>
      <c r="F112" s="26"/>
      <c r="G112" s="26"/>
      <c r="H112" s="30"/>
      <c r="I112" s="26"/>
      <c r="J112" s="26"/>
      <c r="K112" s="26"/>
      <c r="L112" s="26"/>
      <c r="M112" s="26"/>
      <c r="N112" s="26"/>
      <c r="O112" s="26"/>
      <c r="P112" s="26"/>
      <c r="Q112" s="26"/>
    </row>
    <row r="113" spans="2:17" x14ac:dyDescent="0.2">
      <c r="B113" s="226"/>
      <c r="C113" s="216" t="s">
        <v>127</v>
      </c>
      <c r="D113" s="646">
        <f>IF(E111=" ",0,D112-D111)</f>
        <v>0</v>
      </c>
      <c r="E113" s="230" t="str">
        <f>E111</f>
        <v>KES</v>
      </c>
      <c r="F113" s="26"/>
      <c r="G113" s="26"/>
      <c r="H113" s="26"/>
      <c r="I113" s="26"/>
      <c r="J113" s="26"/>
      <c r="K113" s="26"/>
      <c r="L113" s="26"/>
      <c r="M113" s="26"/>
      <c r="N113" s="26"/>
      <c r="O113" s="26"/>
      <c r="P113" s="26"/>
      <c r="Q113" s="26"/>
    </row>
    <row r="114" spans="2:17" x14ac:dyDescent="0.2">
      <c r="B114" s="226"/>
      <c r="C114" s="229" t="s">
        <v>129</v>
      </c>
      <c r="D114" s="646">
        <f>D110*D113</f>
        <v>0</v>
      </c>
      <c r="E114" s="224" t="str">
        <f>E111</f>
        <v>KES</v>
      </c>
      <c r="H114" s="217"/>
    </row>
    <row r="115" spans="2:17" x14ac:dyDescent="0.2">
      <c r="B115" s="226"/>
      <c r="C115" s="47" t="s">
        <v>458</v>
      </c>
      <c r="D115" s="647"/>
      <c r="E115" s="225" t="s">
        <v>132</v>
      </c>
    </row>
    <row r="116" spans="2:17" x14ac:dyDescent="0.2">
      <c r="B116" s="226"/>
      <c r="C116" s="228" t="s">
        <v>131</v>
      </c>
      <c r="D116" s="648">
        <f>IF(D115&gt;0,D114/D115,0)</f>
        <v>0</v>
      </c>
      <c r="E116" s="227" t="s">
        <v>341</v>
      </c>
      <c r="F116" s="268" t="s">
        <v>340</v>
      </c>
    </row>
    <row r="118" spans="2:17" x14ac:dyDescent="0.2">
      <c r="C118" s="99" t="s">
        <v>384</v>
      </c>
      <c r="D118" s="100"/>
      <c r="J118" s="45"/>
      <c r="K118" s="26"/>
    </row>
    <row r="119" spans="2:17" x14ac:dyDescent="0.2">
      <c r="C119" s="75"/>
      <c r="D119" s="69" t="s">
        <v>61</v>
      </c>
      <c r="E119" s="71" t="s">
        <v>77</v>
      </c>
      <c r="F119" s="71" t="s">
        <v>78</v>
      </c>
      <c r="G119" s="71" t="s">
        <v>79</v>
      </c>
      <c r="H119" s="74" t="s">
        <v>80</v>
      </c>
      <c r="I119" s="71" t="s">
        <v>14</v>
      </c>
      <c r="K119" s="26"/>
    </row>
    <row r="120" spans="2:17" x14ac:dyDescent="0.2">
      <c r="C120" s="34" t="s">
        <v>186</v>
      </c>
      <c r="D120" s="642"/>
      <c r="E120" s="140"/>
      <c r="F120" s="140"/>
      <c r="G120" s="140"/>
      <c r="H120" s="140"/>
      <c r="I120" s="72" t="s">
        <v>13</v>
      </c>
      <c r="K120" s="26"/>
    </row>
    <row r="121" spans="2:17" ht="15" x14ac:dyDescent="0.25">
      <c r="C121" s="34" t="s">
        <v>185</v>
      </c>
      <c r="D121" s="635">
        <f>D120*$D$15</f>
        <v>0</v>
      </c>
      <c r="E121" s="635">
        <f>E120*$D$15</f>
        <v>0</v>
      </c>
      <c r="F121" s="635">
        <f>F120*$D$15</f>
        <v>0</v>
      </c>
      <c r="G121" s="635">
        <f>G120*$D$15</f>
        <v>0</v>
      </c>
      <c r="H121" s="635">
        <f>H120*$D$15</f>
        <v>0</v>
      </c>
      <c r="I121" s="72" t="s">
        <v>132</v>
      </c>
      <c r="K121" s="26"/>
    </row>
    <row r="122" spans="2:17" ht="15" x14ac:dyDescent="0.25">
      <c r="C122" s="34" t="s">
        <v>187</v>
      </c>
      <c r="D122" s="635">
        <f>'Capital Costs Details'!$G151*D120</f>
        <v>0</v>
      </c>
      <c r="E122" s="635">
        <f>'Capital Costs Details'!$G151*E120</f>
        <v>0</v>
      </c>
      <c r="F122" s="635">
        <f>'Capital Costs Details'!$G151*F120</f>
        <v>0</v>
      </c>
      <c r="G122" s="635">
        <f>'Capital Costs Details'!$G151*G120</f>
        <v>0</v>
      </c>
      <c r="H122" s="635">
        <f>'Capital Costs Details'!$G151*H120</f>
        <v>0</v>
      </c>
      <c r="I122" s="72" t="str">
        <f>I65</f>
        <v>KES</v>
      </c>
      <c r="K122" s="26"/>
    </row>
    <row r="123" spans="2:17" x14ac:dyDescent="0.2">
      <c r="K123" s="26"/>
    </row>
    <row r="126" spans="2:17" s="170" customFormat="1" x14ac:dyDescent="0.2">
      <c r="F126" s="187"/>
      <c r="G126" s="187"/>
      <c r="H126" s="188"/>
      <c r="I126" s="189"/>
      <c r="J126" s="190"/>
      <c r="K126" s="190"/>
      <c r="L126" s="190"/>
      <c r="M126" s="191"/>
      <c r="N126" s="172"/>
      <c r="O126" s="172"/>
      <c r="P126" s="172"/>
      <c r="Q126" s="172"/>
    </row>
    <row r="127" spans="2:17" s="170" customFormat="1" x14ac:dyDescent="0.2">
      <c r="F127" s="187"/>
      <c r="G127" s="187"/>
      <c r="H127" s="188"/>
      <c r="I127" s="189"/>
      <c r="J127" s="190"/>
      <c r="K127" s="190"/>
      <c r="L127" s="190"/>
      <c r="M127" s="191"/>
      <c r="N127" s="172"/>
      <c r="O127" s="172"/>
      <c r="P127" s="172"/>
      <c r="Q127" s="172"/>
    </row>
    <row r="128" spans="2:17" s="170" customFormat="1" x14ac:dyDescent="0.2">
      <c r="F128" s="187"/>
      <c r="G128" s="187"/>
      <c r="H128" s="188"/>
      <c r="I128" s="189"/>
      <c r="J128" s="190"/>
      <c r="K128" s="190"/>
      <c r="L128" s="190"/>
      <c r="M128" s="191"/>
      <c r="N128" s="172"/>
      <c r="O128" s="172"/>
      <c r="P128" s="172"/>
      <c r="Q128" s="172"/>
    </row>
    <row r="129" spans="6:17" s="170" customFormat="1" x14ac:dyDescent="0.2">
      <c r="F129" s="187"/>
      <c r="G129" s="187"/>
      <c r="H129" s="188"/>
      <c r="I129" s="189"/>
      <c r="J129" s="190"/>
      <c r="K129" s="190"/>
      <c r="L129" s="190"/>
      <c r="M129" s="191"/>
      <c r="N129" s="172"/>
      <c r="O129" s="172"/>
      <c r="P129" s="172"/>
      <c r="Q129" s="172"/>
    </row>
    <row r="130" spans="6:17" s="170" customFormat="1" x14ac:dyDescent="0.2">
      <c r="F130" s="187"/>
      <c r="G130" s="187"/>
      <c r="H130" s="188"/>
      <c r="I130" s="189"/>
      <c r="J130" s="190"/>
      <c r="K130" s="190"/>
      <c r="L130" s="190"/>
      <c r="M130" s="191"/>
      <c r="N130" s="172"/>
      <c r="O130" s="172"/>
      <c r="P130" s="172"/>
      <c r="Q130" s="172"/>
    </row>
    <row r="131" spans="6:17" s="170" customFormat="1" x14ac:dyDescent="0.2">
      <c r="F131" s="187"/>
      <c r="G131" s="187"/>
      <c r="H131" s="188"/>
      <c r="I131" s="189"/>
      <c r="J131" s="190"/>
      <c r="K131" s="190"/>
      <c r="L131" s="190"/>
      <c r="M131" s="191"/>
      <c r="N131" s="172"/>
      <c r="O131" s="172"/>
      <c r="P131" s="172"/>
      <c r="Q131" s="172"/>
    </row>
    <row r="132" spans="6:17" s="170" customFormat="1" x14ac:dyDescent="0.2">
      <c r="F132" s="187"/>
      <c r="G132" s="187"/>
      <c r="H132" s="188"/>
      <c r="I132" s="189"/>
      <c r="J132" s="190"/>
      <c r="K132" s="190"/>
      <c r="L132" s="190"/>
      <c r="M132" s="191"/>
      <c r="N132" s="172"/>
      <c r="O132" s="172"/>
      <c r="P132" s="172"/>
      <c r="Q132" s="172"/>
    </row>
    <row r="133" spans="6:17" s="170" customFormat="1" x14ac:dyDescent="0.2">
      <c r="F133" s="187"/>
      <c r="G133" s="187"/>
      <c r="H133" s="188"/>
      <c r="I133" s="189"/>
      <c r="J133" s="190"/>
      <c r="K133" s="190"/>
      <c r="L133" s="190"/>
      <c r="M133" s="191"/>
      <c r="N133" s="172"/>
      <c r="O133" s="172"/>
      <c r="P133" s="172"/>
      <c r="Q133" s="172"/>
    </row>
    <row r="134" spans="6:17" s="170" customFormat="1" x14ac:dyDescent="0.2">
      <c r="F134" s="187"/>
      <c r="G134" s="187"/>
      <c r="H134" s="188"/>
      <c r="I134" s="189"/>
      <c r="J134" s="190"/>
      <c r="K134" s="190"/>
      <c r="L134" s="190"/>
      <c r="M134" s="191"/>
      <c r="N134" s="172"/>
      <c r="O134" s="172"/>
      <c r="P134" s="172"/>
      <c r="Q134" s="172"/>
    </row>
    <row r="135" spans="6:17" s="170" customFormat="1" x14ac:dyDescent="0.2">
      <c r="F135" s="187"/>
      <c r="G135" s="187"/>
      <c r="H135" s="188"/>
      <c r="I135" s="189"/>
      <c r="J135" s="190"/>
      <c r="K135" s="190"/>
      <c r="L135" s="190"/>
      <c r="M135" s="191"/>
      <c r="N135" s="172"/>
      <c r="O135" s="172"/>
      <c r="P135" s="172"/>
      <c r="Q135" s="172"/>
    </row>
    <row r="136" spans="6:17" s="170" customFormat="1" x14ac:dyDescent="0.2">
      <c r="F136" s="187"/>
      <c r="G136" s="187"/>
      <c r="H136" s="188"/>
      <c r="I136" s="189"/>
      <c r="J136" s="190"/>
      <c r="K136" s="190"/>
      <c r="L136" s="190"/>
      <c r="M136" s="191"/>
      <c r="N136" s="172"/>
      <c r="O136" s="172"/>
      <c r="P136" s="172"/>
      <c r="Q136" s="172"/>
    </row>
    <row r="137" spans="6:17" s="170" customFormat="1" x14ac:dyDescent="0.2">
      <c r="F137" s="187"/>
      <c r="G137" s="187"/>
      <c r="H137" s="188"/>
      <c r="I137" s="189"/>
      <c r="J137" s="190"/>
      <c r="K137" s="190"/>
      <c r="L137" s="190"/>
      <c r="M137" s="191"/>
      <c r="N137" s="172"/>
      <c r="O137" s="172"/>
      <c r="P137" s="172"/>
      <c r="Q137" s="172"/>
    </row>
    <row r="138" spans="6:17" s="170" customFormat="1" x14ac:dyDescent="0.2">
      <c r="F138" s="187"/>
      <c r="G138" s="187"/>
      <c r="H138" s="188"/>
      <c r="I138" s="189"/>
      <c r="J138" s="190"/>
      <c r="K138" s="190"/>
      <c r="L138" s="190"/>
      <c r="M138" s="191"/>
      <c r="N138" s="172"/>
      <c r="O138" s="172"/>
      <c r="P138" s="172"/>
      <c r="Q138" s="172"/>
    </row>
    <row r="139" spans="6:17" s="170" customFormat="1" x14ac:dyDescent="0.2">
      <c r="F139" s="187"/>
      <c r="G139" s="187"/>
      <c r="H139" s="188"/>
      <c r="I139" s="189"/>
      <c r="J139" s="190"/>
      <c r="K139" s="190"/>
      <c r="L139" s="190"/>
      <c r="M139" s="191"/>
      <c r="N139" s="172"/>
      <c r="O139" s="172"/>
      <c r="P139" s="172"/>
      <c r="Q139" s="172"/>
    </row>
    <row r="140" spans="6:17" s="170" customFormat="1" x14ac:dyDescent="0.2">
      <c r="F140" s="187"/>
      <c r="G140" s="187"/>
      <c r="H140" s="188"/>
      <c r="I140" s="189"/>
      <c r="J140" s="190"/>
      <c r="K140" s="190"/>
      <c r="L140" s="190"/>
      <c r="M140" s="191"/>
      <c r="N140" s="172"/>
      <c r="O140" s="172"/>
      <c r="P140" s="172"/>
      <c r="Q140" s="172"/>
    </row>
    <row r="141" spans="6:17" s="170" customFormat="1" x14ac:dyDescent="0.2">
      <c r="F141" s="187"/>
      <c r="G141" s="187"/>
      <c r="H141" s="188"/>
      <c r="I141" s="189"/>
      <c r="J141" s="190"/>
      <c r="K141" s="190"/>
      <c r="L141" s="190"/>
      <c r="M141" s="191"/>
      <c r="N141" s="172"/>
      <c r="O141" s="172"/>
      <c r="P141" s="172"/>
      <c r="Q141" s="172"/>
    </row>
    <row r="142" spans="6:17" s="170" customFormat="1" x14ac:dyDescent="0.2">
      <c r="F142" s="187"/>
      <c r="G142" s="187"/>
      <c r="H142" s="188"/>
      <c r="I142" s="189"/>
      <c r="J142" s="190"/>
      <c r="K142" s="190"/>
      <c r="L142" s="190"/>
      <c r="M142" s="191"/>
      <c r="N142" s="172"/>
      <c r="O142" s="172"/>
      <c r="P142" s="172"/>
      <c r="Q142" s="172"/>
    </row>
    <row r="143" spans="6:17" s="170" customFormat="1" x14ac:dyDescent="0.2">
      <c r="F143" s="187"/>
      <c r="G143" s="187"/>
      <c r="H143" s="188"/>
      <c r="I143" s="189"/>
      <c r="J143" s="190"/>
      <c r="K143" s="190"/>
      <c r="L143" s="190"/>
      <c r="M143" s="191"/>
      <c r="N143" s="172"/>
      <c r="O143" s="172"/>
      <c r="P143" s="172"/>
      <c r="Q143" s="172"/>
    </row>
    <row r="144" spans="6:17" s="170" customFormat="1" x14ac:dyDescent="0.2">
      <c r="F144" s="187"/>
      <c r="G144" s="187"/>
      <c r="H144" s="188"/>
      <c r="I144" s="189"/>
      <c r="J144" s="190"/>
      <c r="K144" s="190"/>
      <c r="L144" s="190"/>
      <c r="M144" s="191"/>
      <c r="N144" s="172"/>
      <c r="O144" s="172"/>
      <c r="P144" s="172"/>
      <c r="Q144" s="172"/>
    </row>
    <row r="145" spans="6:17" s="170" customFormat="1" x14ac:dyDescent="0.2">
      <c r="F145" s="187"/>
      <c r="G145" s="187"/>
      <c r="H145" s="188"/>
      <c r="I145" s="189"/>
      <c r="J145" s="190"/>
      <c r="K145" s="190"/>
      <c r="L145" s="190"/>
      <c r="M145" s="191"/>
      <c r="N145" s="172"/>
      <c r="O145" s="172"/>
      <c r="P145" s="172"/>
      <c r="Q145" s="172"/>
    </row>
    <row r="146" spans="6:17" s="170" customFormat="1" x14ac:dyDescent="0.2">
      <c r="F146" s="187"/>
      <c r="G146" s="187"/>
      <c r="H146" s="188"/>
      <c r="I146" s="189"/>
      <c r="J146" s="190"/>
      <c r="K146" s="190"/>
      <c r="L146" s="190"/>
      <c r="M146" s="191"/>
      <c r="N146" s="172"/>
      <c r="O146" s="172"/>
      <c r="P146" s="172"/>
      <c r="Q146" s="172"/>
    </row>
    <row r="147" spans="6:17" s="170" customFormat="1" x14ac:dyDescent="0.2">
      <c r="F147" s="187"/>
      <c r="G147" s="187"/>
      <c r="H147" s="188"/>
      <c r="I147" s="189"/>
      <c r="J147" s="190"/>
      <c r="K147" s="190"/>
      <c r="L147" s="190"/>
      <c r="M147" s="191"/>
      <c r="N147" s="172"/>
      <c r="O147" s="172"/>
      <c r="P147" s="172"/>
      <c r="Q147" s="172"/>
    </row>
    <row r="148" spans="6:17" s="170" customFormat="1" x14ac:dyDescent="0.2">
      <c r="F148" s="187"/>
      <c r="G148" s="187"/>
      <c r="H148" s="188"/>
      <c r="I148" s="189"/>
      <c r="J148" s="190"/>
      <c r="K148" s="190"/>
      <c r="L148" s="190"/>
      <c r="M148" s="191"/>
      <c r="N148" s="172"/>
      <c r="O148" s="172"/>
      <c r="P148" s="172"/>
      <c r="Q148" s="172"/>
    </row>
    <row r="149" spans="6:17" s="170" customFormat="1" x14ac:dyDescent="0.2">
      <c r="F149" s="187"/>
      <c r="G149" s="187"/>
      <c r="H149" s="188"/>
      <c r="I149" s="189"/>
      <c r="J149" s="190"/>
      <c r="K149" s="190"/>
      <c r="L149" s="190"/>
      <c r="M149" s="191"/>
      <c r="N149" s="172"/>
      <c r="O149" s="172"/>
      <c r="P149" s="172"/>
      <c r="Q149" s="172"/>
    </row>
    <row r="150" spans="6:17" s="170" customFormat="1" x14ac:dyDescent="0.2">
      <c r="F150" s="187"/>
      <c r="G150" s="187"/>
      <c r="H150" s="188"/>
      <c r="I150" s="189"/>
      <c r="J150" s="190"/>
      <c r="K150" s="190"/>
      <c r="L150" s="190"/>
      <c r="M150" s="191"/>
      <c r="N150" s="172"/>
      <c r="O150" s="172"/>
      <c r="P150" s="172"/>
      <c r="Q150" s="172"/>
    </row>
    <row r="151" spans="6:17" s="170" customFormat="1" x14ac:dyDescent="0.2">
      <c r="F151" s="187"/>
      <c r="G151" s="187"/>
      <c r="H151" s="188"/>
      <c r="I151" s="189"/>
      <c r="J151" s="190"/>
      <c r="K151" s="190"/>
      <c r="L151" s="190"/>
      <c r="M151" s="191"/>
      <c r="N151" s="172"/>
      <c r="O151" s="172"/>
      <c r="P151" s="172"/>
      <c r="Q151" s="172"/>
    </row>
    <row r="152" spans="6:17" s="170" customFormat="1" x14ac:dyDescent="0.2">
      <c r="F152" s="187"/>
      <c r="G152" s="187"/>
      <c r="H152" s="188"/>
      <c r="I152" s="189"/>
      <c r="J152" s="190"/>
      <c r="K152" s="190"/>
      <c r="L152" s="190"/>
      <c r="M152" s="191"/>
      <c r="N152" s="172"/>
      <c r="O152" s="172"/>
      <c r="P152" s="172"/>
      <c r="Q152" s="172"/>
    </row>
    <row r="153" spans="6:17" s="170" customFormat="1" x14ac:dyDescent="0.2">
      <c r="F153" s="187"/>
      <c r="G153" s="187"/>
      <c r="H153" s="188"/>
      <c r="I153" s="189"/>
      <c r="J153" s="190"/>
      <c r="K153" s="190"/>
      <c r="L153" s="190"/>
      <c r="M153" s="191"/>
      <c r="N153" s="172"/>
      <c r="O153" s="172"/>
      <c r="P153" s="172"/>
      <c r="Q153" s="172"/>
    </row>
    <row r="154" spans="6:17" s="170" customFormat="1" x14ac:dyDescent="0.2">
      <c r="F154" s="187"/>
      <c r="G154" s="187"/>
      <c r="H154" s="188"/>
      <c r="I154" s="189"/>
      <c r="J154" s="190"/>
      <c r="K154" s="190"/>
      <c r="L154" s="190"/>
      <c r="M154" s="191"/>
      <c r="N154" s="172"/>
      <c r="O154" s="172"/>
      <c r="P154" s="172"/>
      <c r="Q154" s="172"/>
    </row>
    <row r="155" spans="6:17" s="170" customFormat="1" x14ac:dyDescent="0.2">
      <c r="F155" s="187"/>
      <c r="G155" s="187"/>
      <c r="H155" s="188"/>
      <c r="I155" s="189"/>
      <c r="J155" s="190"/>
      <c r="K155" s="190"/>
      <c r="L155" s="190"/>
      <c r="M155" s="191"/>
      <c r="N155" s="172"/>
      <c r="O155" s="172"/>
      <c r="P155" s="172"/>
      <c r="Q155" s="172"/>
    </row>
    <row r="156" spans="6:17" s="170" customFormat="1" x14ac:dyDescent="0.2">
      <c r="F156" s="187"/>
      <c r="G156" s="187"/>
      <c r="H156" s="188"/>
      <c r="I156" s="189"/>
      <c r="J156" s="190"/>
      <c r="K156" s="190"/>
      <c r="L156" s="190"/>
      <c r="M156" s="191"/>
      <c r="N156" s="172"/>
      <c r="O156" s="172"/>
      <c r="P156" s="172"/>
      <c r="Q156" s="172"/>
    </row>
    <row r="157" spans="6:17" s="170" customFormat="1" x14ac:dyDescent="0.2">
      <c r="F157" s="187"/>
      <c r="G157" s="187"/>
      <c r="H157" s="188"/>
      <c r="I157" s="189"/>
      <c r="J157" s="190"/>
      <c r="K157" s="190"/>
      <c r="L157" s="190"/>
      <c r="M157" s="191"/>
      <c r="N157" s="172"/>
      <c r="O157" s="172"/>
      <c r="P157" s="172"/>
      <c r="Q157" s="172"/>
    </row>
    <row r="158" spans="6:17" s="170" customFormat="1" x14ac:dyDescent="0.2">
      <c r="F158" s="187"/>
      <c r="G158" s="187"/>
      <c r="H158" s="188"/>
      <c r="I158" s="189"/>
      <c r="J158" s="190"/>
      <c r="K158" s="190"/>
      <c r="L158" s="190"/>
      <c r="M158" s="191"/>
      <c r="N158" s="172"/>
      <c r="O158" s="172"/>
      <c r="P158" s="172"/>
      <c r="Q158" s="172"/>
    </row>
    <row r="159" spans="6:17" s="170" customFormat="1" x14ac:dyDescent="0.2">
      <c r="F159" s="187"/>
      <c r="G159" s="187"/>
      <c r="H159" s="188"/>
      <c r="I159" s="189"/>
      <c r="J159" s="190"/>
      <c r="K159" s="190"/>
      <c r="L159" s="190"/>
      <c r="M159" s="191"/>
      <c r="N159" s="172"/>
      <c r="O159" s="172"/>
      <c r="P159" s="172"/>
      <c r="Q159" s="172"/>
    </row>
    <row r="160" spans="6:17" s="170" customFormat="1" x14ac:dyDescent="0.2">
      <c r="F160" s="187"/>
      <c r="G160" s="187"/>
      <c r="H160" s="188"/>
      <c r="I160" s="189"/>
      <c r="J160" s="190"/>
      <c r="K160" s="190"/>
      <c r="L160" s="190"/>
      <c r="M160" s="191"/>
      <c r="N160" s="172"/>
      <c r="O160" s="172"/>
      <c r="P160" s="172"/>
      <c r="Q160" s="172"/>
    </row>
    <row r="161" spans="6:17" s="170" customFormat="1" x14ac:dyDescent="0.2">
      <c r="F161" s="187"/>
      <c r="G161" s="187"/>
      <c r="H161" s="188"/>
      <c r="I161" s="189"/>
      <c r="J161" s="190"/>
      <c r="K161" s="190"/>
      <c r="L161" s="190"/>
      <c r="M161" s="191"/>
      <c r="N161" s="172"/>
      <c r="O161" s="172"/>
      <c r="P161" s="172"/>
      <c r="Q161" s="172"/>
    </row>
    <row r="162" spans="6:17" s="170" customFormat="1" x14ac:dyDescent="0.2">
      <c r="F162" s="187"/>
      <c r="G162" s="187"/>
      <c r="H162" s="188"/>
      <c r="I162" s="189"/>
      <c r="J162" s="190"/>
      <c r="K162" s="190"/>
      <c r="L162" s="190"/>
      <c r="M162" s="191"/>
      <c r="N162" s="172"/>
      <c r="O162" s="172"/>
      <c r="P162" s="172"/>
      <c r="Q162" s="172"/>
    </row>
    <row r="163" spans="6:17" s="170" customFormat="1" x14ac:dyDescent="0.2">
      <c r="F163" s="187"/>
      <c r="G163" s="187"/>
      <c r="H163" s="188"/>
      <c r="I163" s="189"/>
      <c r="J163" s="190"/>
      <c r="K163" s="190"/>
      <c r="L163" s="190"/>
      <c r="M163" s="191"/>
      <c r="N163" s="172"/>
      <c r="O163" s="172"/>
      <c r="P163" s="172"/>
      <c r="Q163" s="172"/>
    </row>
    <row r="164" spans="6:17" s="170" customFormat="1" x14ac:dyDescent="0.2">
      <c r="F164" s="187"/>
      <c r="G164" s="187"/>
      <c r="H164" s="188"/>
      <c r="I164" s="189"/>
      <c r="J164" s="190"/>
      <c r="K164" s="190"/>
      <c r="L164" s="190"/>
      <c r="M164" s="191"/>
      <c r="N164" s="172"/>
      <c r="O164" s="172"/>
      <c r="P164" s="172"/>
      <c r="Q164" s="172"/>
    </row>
    <row r="165" spans="6:17" s="170" customFormat="1" x14ac:dyDescent="0.2">
      <c r="F165" s="187"/>
      <c r="G165" s="187"/>
      <c r="H165" s="188"/>
      <c r="I165" s="189"/>
      <c r="J165" s="190"/>
      <c r="K165" s="190"/>
      <c r="L165" s="190"/>
      <c r="M165" s="191"/>
      <c r="N165" s="172"/>
      <c r="O165" s="172"/>
      <c r="P165" s="172"/>
      <c r="Q165" s="172"/>
    </row>
    <row r="166" spans="6:17" s="170" customFormat="1" x14ac:dyDescent="0.2">
      <c r="F166" s="187"/>
      <c r="G166" s="187"/>
      <c r="H166" s="188"/>
      <c r="I166" s="189"/>
      <c r="J166" s="190"/>
      <c r="K166" s="190"/>
      <c r="L166" s="190"/>
      <c r="M166" s="191"/>
      <c r="N166" s="172"/>
      <c r="O166" s="172"/>
      <c r="P166" s="172"/>
      <c r="Q166" s="172"/>
    </row>
    <row r="167" spans="6:17" s="170" customFormat="1" x14ac:dyDescent="0.2">
      <c r="F167" s="187"/>
      <c r="G167" s="187"/>
      <c r="H167" s="188"/>
      <c r="I167" s="189"/>
      <c r="J167" s="190"/>
      <c r="K167" s="190"/>
      <c r="L167" s="190"/>
      <c r="M167" s="191"/>
      <c r="N167" s="172"/>
      <c r="O167" s="172"/>
      <c r="P167" s="172"/>
      <c r="Q167" s="172"/>
    </row>
    <row r="168" spans="6:17" s="170" customFormat="1" x14ac:dyDescent="0.2">
      <c r="F168" s="187"/>
      <c r="G168" s="187"/>
      <c r="H168" s="188"/>
      <c r="I168" s="189"/>
      <c r="J168" s="190"/>
      <c r="K168" s="190"/>
      <c r="L168" s="190"/>
      <c r="M168" s="191"/>
      <c r="N168" s="172"/>
      <c r="O168" s="172"/>
      <c r="P168" s="172"/>
      <c r="Q168" s="172"/>
    </row>
    <row r="169" spans="6:17" s="170" customFormat="1" x14ac:dyDescent="0.2">
      <c r="F169" s="187"/>
      <c r="G169" s="187"/>
      <c r="H169" s="188"/>
      <c r="I169" s="189"/>
      <c r="J169" s="190"/>
      <c r="K169" s="190"/>
      <c r="L169" s="190"/>
      <c r="M169" s="191"/>
      <c r="N169" s="172"/>
      <c r="O169" s="172"/>
      <c r="P169" s="172"/>
      <c r="Q169" s="172"/>
    </row>
    <row r="170" spans="6:17" s="170" customFormat="1" x14ac:dyDescent="0.2">
      <c r="F170" s="187"/>
      <c r="G170" s="187"/>
      <c r="H170" s="188"/>
      <c r="I170" s="189"/>
      <c r="J170" s="190"/>
      <c r="K170" s="190"/>
      <c r="L170" s="190"/>
      <c r="M170" s="191"/>
      <c r="N170" s="172"/>
      <c r="O170" s="172"/>
      <c r="P170" s="172"/>
      <c r="Q170" s="172"/>
    </row>
    <row r="171" spans="6:17" s="170" customFormat="1" x14ac:dyDescent="0.2">
      <c r="F171" s="187"/>
      <c r="G171" s="187"/>
      <c r="H171" s="188"/>
      <c r="I171" s="189"/>
      <c r="J171" s="190"/>
      <c r="K171" s="190"/>
      <c r="L171" s="190"/>
      <c r="M171" s="191"/>
      <c r="N171" s="172"/>
      <c r="O171" s="172"/>
      <c r="P171" s="172"/>
      <c r="Q171" s="172"/>
    </row>
    <row r="172" spans="6:17" s="170" customFormat="1" x14ac:dyDescent="0.2">
      <c r="F172" s="187"/>
      <c r="G172" s="187"/>
      <c r="H172" s="188"/>
      <c r="I172" s="189"/>
      <c r="J172" s="190"/>
      <c r="K172" s="190"/>
      <c r="L172" s="190"/>
      <c r="M172" s="191"/>
      <c r="N172" s="172"/>
      <c r="O172" s="172"/>
      <c r="P172" s="172"/>
      <c r="Q172" s="172"/>
    </row>
    <row r="173" spans="6:17" s="170" customFormat="1" x14ac:dyDescent="0.2">
      <c r="F173" s="187"/>
      <c r="G173" s="187"/>
      <c r="H173" s="188"/>
      <c r="I173" s="189"/>
      <c r="J173" s="190"/>
      <c r="K173" s="190"/>
      <c r="L173" s="190"/>
      <c r="M173" s="191"/>
      <c r="N173" s="172"/>
      <c r="O173" s="172"/>
      <c r="P173" s="172"/>
      <c r="Q173" s="172"/>
    </row>
    <row r="174" spans="6:17" s="170" customFormat="1" x14ac:dyDescent="0.2">
      <c r="F174" s="187"/>
      <c r="G174" s="187"/>
      <c r="H174" s="188"/>
      <c r="I174" s="189"/>
      <c r="J174" s="190"/>
      <c r="K174" s="190"/>
      <c r="L174" s="190"/>
      <c r="M174" s="191"/>
      <c r="N174" s="172"/>
      <c r="O174" s="172"/>
      <c r="P174" s="172"/>
      <c r="Q174" s="172"/>
    </row>
    <row r="175" spans="6:17" s="170" customFormat="1" x14ac:dyDescent="0.2">
      <c r="F175" s="187"/>
      <c r="G175" s="187"/>
      <c r="H175" s="188"/>
      <c r="I175" s="189"/>
      <c r="J175" s="190"/>
      <c r="K175" s="190"/>
      <c r="L175" s="190"/>
      <c r="M175" s="191"/>
      <c r="N175" s="172"/>
      <c r="O175" s="172"/>
      <c r="P175" s="172"/>
      <c r="Q175" s="172"/>
    </row>
    <row r="176" spans="6:17" s="170" customFormat="1" x14ac:dyDescent="0.2">
      <c r="F176" s="187"/>
      <c r="G176" s="187"/>
      <c r="H176" s="188"/>
      <c r="I176" s="189"/>
      <c r="J176" s="190"/>
      <c r="K176" s="190"/>
      <c r="L176" s="190"/>
      <c r="M176" s="191"/>
      <c r="N176" s="172"/>
      <c r="O176" s="172"/>
      <c r="P176" s="172"/>
      <c r="Q176" s="172"/>
    </row>
    <row r="177" spans="6:17" s="170" customFormat="1" x14ac:dyDescent="0.2">
      <c r="F177" s="187"/>
      <c r="G177" s="187"/>
      <c r="H177" s="188"/>
      <c r="I177" s="189"/>
      <c r="J177" s="190"/>
      <c r="K177" s="190"/>
      <c r="L177" s="190"/>
      <c r="M177" s="191"/>
      <c r="N177" s="172"/>
      <c r="O177" s="172"/>
      <c r="P177" s="172"/>
      <c r="Q177" s="172"/>
    </row>
    <row r="178" spans="6:17" s="170" customFormat="1" x14ac:dyDescent="0.2">
      <c r="F178" s="187"/>
      <c r="G178" s="187"/>
      <c r="H178" s="188"/>
      <c r="I178" s="189"/>
      <c r="J178" s="190"/>
      <c r="K178" s="190"/>
      <c r="L178" s="190"/>
      <c r="M178" s="191"/>
      <c r="N178" s="172"/>
      <c r="O178" s="172"/>
      <c r="P178" s="172"/>
      <c r="Q178" s="172"/>
    </row>
    <row r="179" spans="6:17" s="170" customFormat="1" x14ac:dyDescent="0.2">
      <c r="F179" s="187"/>
      <c r="G179" s="187"/>
      <c r="H179" s="188"/>
      <c r="I179" s="189"/>
      <c r="J179" s="190"/>
      <c r="K179" s="190"/>
      <c r="L179" s="190"/>
      <c r="M179" s="191"/>
      <c r="N179" s="172"/>
      <c r="O179" s="172"/>
      <c r="P179" s="172"/>
      <c r="Q179" s="172"/>
    </row>
    <row r="180" spans="6:17" s="170" customFormat="1" x14ac:dyDescent="0.2">
      <c r="F180" s="187"/>
      <c r="G180" s="187"/>
      <c r="H180" s="188"/>
      <c r="I180" s="189"/>
      <c r="J180" s="190"/>
      <c r="K180" s="190"/>
      <c r="L180" s="190"/>
      <c r="M180" s="191"/>
      <c r="N180" s="172"/>
      <c r="O180" s="172"/>
      <c r="P180" s="172"/>
      <c r="Q180" s="172"/>
    </row>
    <row r="181" spans="6:17" s="170" customFormat="1" x14ac:dyDescent="0.2">
      <c r="F181" s="187"/>
      <c r="G181" s="187"/>
      <c r="H181" s="188"/>
      <c r="I181" s="189"/>
      <c r="J181" s="190"/>
      <c r="K181" s="190"/>
      <c r="L181" s="190"/>
      <c r="M181" s="191"/>
      <c r="N181" s="172"/>
      <c r="O181" s="172"/>
      <c r="P181" s="172"/>
      <c r="Q181" s="172"/>
    </row>
    <row r="182" spans="6:17" s="170" customFormat="1" x14ac:dyDescent="0.2">
      <c r="F182" s="187"/>
      <c r="G182" s="187"/>
      <c r="H182" s="188"/>
      <c r="I182" s="189"/>
      <c r="J182" s="190"/>
      <c r="K182" s="190"/>
      <c r="L182" s="190"/>
      <c r="M182" s="191"/>
      <c r="N182" s="172"/>
      <c r="O182" s="172"/>
      <c r="P182" s="172"/>
      <c r="Q182" s="172"/>
    </row>
    <row r="183" spans="6:17" s="170" customFormat="1" x14ac:dyDescent="0.2">
      <c r="F183" s="187"/>
      <c r="G183" s="187"/>
      <c r="H183" s="188"/>
      <c r="I183" s="189"/>
      <c r="J183" s="190"/>
      <c r="K183" s="190"/>
      <c r="L183" s="190"/>
      <c r="M183" s="191"/>
      <c r="N183" s="172"/>
      <c r="O183" s="172"/>
      <c r="P183" s="172"/>
      <c r="Q183" s="172"/>
    </row>
    <row r="184" spans="6:17" s="170" customFormat="1" x14ac:dyDescent="0.2">
      <c r="F184" s="187"/>
      <c r="G184" s="187"/>
      <c r="H184" s="188"/>
      <c r="I184" s="189"/>
      <c r="J184" s="190"/>
      <c r="K184" s="190"/>
      <c r="L184" s="190"/>
      <c r="M184" s="191"/>
      <c r="N184" s="172"/>
      <c r="O184" s="172"/>
      <c r="P184" s="172"/>
      <c r="Q184" s="172"/>
    </row>
    <row r="185" spans="6:17" s="170" customFormat="1" x14ac:dyDescent="0.2">
      <c r="F185" s="187"/>
      <c r="G185" s="187"/>
      <c r="H185" s="188"/>
      <c r="I185" s="189"/>
      <c r="J185" s="190"/>
      <c r="K185" s="190"/>
      <c r="L185" s="190"/>
      <c r="M185" s="191"/>
      <c r="N185" s="172"/>
      <c r="O185" s="172"/>
      <c r="P185" s="172"/>
      <c r="Q185" s="172"/>
    </row>
    <row r="186" spans="6:17" s="170" customFormat="1" x14ac:dyDescent="0.2">
      <c r="F186" s="187"/>
      <c r="G186" s="187"/>
      <c r="H186" s="188"/>
      <c r="I186" s="189"/>
      <c r="J186" s="190"/>
      <c r="K186" s="190"/>
      <c r="L186" s="190"/>
      <c r="M186" s="191"/>
      <c r="N186" s="172"/>
      <c r="O186" s="172"/>
      <c r="P186" s="172"/>
      <c r="Q186" s="172"/>
    </row>
    <row r="187" spans="6:17" s="170" customFormat="1" x14ac:dyDescent="0.2">
      <c r="F187" s="187"/>
      <c r="G187" s="187"/>
      <c r="H187" s="188"/>
      <c r="I187" s="189"/>
      <c r="J187" s="190"/>
      <c r="K187" s="190"/>
      <c r="L187" s="190"/>
      <c r="M187" s="191"/>
      <c r="N187" s="172"/>
      <c r="O187" s="172"/>
      <c r="P187" s="172"/>
      <c r="Q187" s="172"/>
    </row>
    <row r="188" spans="6:17" s="170" customFormat="1" x14ac:dyDescent="0.2">
      <c r="F188" s="187"/>
      <c r="G188" s="187"/>
      <c r="H188" s="188"/>
      <c r="I188" s="189"/>
      <c r="J188" s="190"/>
      <c r="K188" s="190"/>
      <c r="L188" s="190"/>
      <c r="M188" s="191"/>
      <c r="N188" s="172"/>
      <c r="O188" s="172"/>
      <c r="P188" s="172"/>
      <c r="Q188" s="172"/>
    </row>
    <row r="189" spans="6:17" s="170" customFormat="1" x14ac:dyDescent="0.2">
      <c r="F189" s="187"/>
      <c r="G189" s="187"/>
      <c r="H189" s="188"/>
      <c r="I189" s="189"/>
      <c r="J189" s="190"/>
      <c r="K189" s="190"/>
      <c r="L189" s="190"/>
      <c r="M189" s="191"/>
      <c r="N189" s="172"/>
      <c r="O189" s="172"/>
      <c r="P189" s="172"/>
      <c r="Q189" s="172"/>
    </row>
    <row r="190" spans="6:17" s="170" customFormat="1" x14ac:dyDescent="0.2">
      <c r="F190" s="187"/>
      <c r="G190" s="187"/>
      <c r="H190" s="188"/>
      <c r="I190" s="189"/>
      <c r="J190" s="190"/>
      <c r="K190" s="190"/>
      <c r="L190" s="190"/>
      <c r="M190" s="191"/>
      <c r="N190" s="172"/>
      <c r="O190" s="172"/>
      <c r="P190" s="172"/>
      <c r="Q190" s="172"/>
    </row>
    <row r="191" spans="6:17" s="170" customFormat="1" x14ac:dyDescent="0.2">
      <c r="F191" s="187"/>
      <c r="G191" s="187"/>
      <c r="H191" s="188"/>
      <c r="I191" s="189"/>
      <c r="J191" s="190"/>
      <c r="K191" s="190"/>
      <c r="L191" s="190"/>
      <c r="M191" s="191"/>
      <c r="N191" s="172"/>
      <c r="O191" s="172"/>
      <c r="P191" s="172"/>
      <c r="Q191" s="172"/>
    </row>
    <row r="192" spans="6:17" s="170" customFormat="1" x14ac:dyDescent="0.2">
      <c r="F192" s="187"/>
      <c r="G192" s="187"/>
      <c r="H192" s="188"/>
      <c r="I192" s="189"/>
      <c r="J192" s="190"/>
      <c r="K192" s="190"/>
      <c r="L192" s="190"/>
      <c r="M192" s="191"/>
      <c r="N192" s="172"/>
      <c r="O192" s="172"/>
      <c r="P192" s="172"/>
      <c r="Q192" s="172"/>
    </row>
    <row r="193" spans="6:17" s="170" customFormat="1" x14ac:dyDescent="0.2">
      <c r="F193" s="187"/>
      <c r="G193" s="187"/>
      <c r="H193" s="188"/>
      <c r="I193" s="189"/>
      <c r="J193" s="190"/>
      <c r="K193" s="190"/>
      <c r="L193" s="190"/>
      <c r="M193" s="191"/>
      <c r="N193" s="172"/>
      <c r="O193" s="172"/>
      <c r="P193" s="172"/>
      <c r="Q193" s="172"/>
    </row>
    <row r="194" spans="6:17" s="170" customFormat="1" x14ac:dyDescent="0.2">
      <c r="F194" s="187"/>
      <c r="G194" s="187"/>
      <c r="H194" s="188"/>
      <c r="I194" s="189"/>
      <c r="J194" s="190"/>
      <c r="K194" s="190"/>
      <c r="L194" s="190"/>
      <c r="M194" s="191"/>
      <c r="N194" s="172"/>
      <c r="O194" s="172"/>
      <c r="P194" s="172"/>
      <c r="Q194" s="172"/>
    </row>
    <row r="195" spans="6:17" s="170" customFormat="1" x14ac:dyDescent="0.2">
      <c r="F195" s="187"/>
      <c r="G195" s="187"/>
      <c r="H195" s="188"/>
      <c r="I195" s="189"/>
      <c r="J195" s="190"/>
      <c r="K195" s="190"/>
      <c r="L195" s="190"/>
      <c r="M195" s="191"/>
      <c r="N195" s="172"/>
      <c r="O195" s="172"/>
      <c r="P195" s="172"/>
      <c r="Q195" s="172"/>
    </row>
    <row r="196" spans="6:17" s="170" customFormat="1" x14ac:dyDescent="0.2">
      <c r="F196" s="187"/>
      <c r="G196" s="187"/>
      <c r="H196" s="188"/>
      <c r="I196" s="189"/>
      <c r="J196" s="190"/>
      <c r="K196" s="190"/>
      <c r="L196" s="190"/>
      <c r="M196" s="191"/>
      <c r="N196" s="172"/>
      <c r="O196" s="172"/>
      <c r="P196" s="172"/>
      <c r="Q196" s="172"/>
    </row>
    <row r="197" spans="6:17" s="170" customFormat="1" x14ac:dyDescent="0.2">
      <c r="F197" s="187"/>
      <c r="G197" s="187"/>
      <c r="H197" s="188"/>
      <c r="I197" s="189"/>
      <c r="J197" s="190"/>
      <c r="K197" s="190"/>
      <c r="L197" s="190"/>
      <c r="M197" s="191"/>
      <c r="N197" s="172"/>
      <c r="O197" s="172"/>
      <c r="P197" s="172"/>
      <c r="Q197" s="172"/>
    </row>
    <row r="198" spans="6:17" s="170" customFormat="1" x14ac:dyDescent="0.2">
      <c r="F198" s="187"/>
      <c r="G198" s="187"/>
      <c r="H198" s="188"/>
      <c r="I198" s="189"/>
      <c r="J198" s="190"/>
      <c r="K198" s="190"/>
      <c r="L198" s="190"/>
      <c r="M198" s="191"/>
      <c r="N198" s="172"/>
      <c r="O198" s="172"/>
      <c r="P198" s="172"/>
      <c r="Q198" s="172"/>
    </row>
    <row r="199" spans="6:17" s="170" customFormat="1" x14ac:dyDescent="0.2">
      <c r="F199" s="187"/>
      <c r="G199" s="187"/>
      <c r="H199" s="188"/>
      <c r="I199" s="189"/>
      <c r="J199" s="190"/>
      <c r="K199" s="190"/>
      <c r="L199" s="190"/>
      <c r="M199" s="191"/>
      <c r="N199" s="172"/>
      <c r="O199" s="172"/>
      <c r="P199" s="172"/>
      <c r="Q199" s="172"/>
    </row>
    <row r="200" spans="6:17" s="170" customFormat="1" x14ac:dyDescent="0.2">
      <c r="F200" s="187"/>
      <c r="G200" s="187"/>
      <c r="H200" s="188"/>
      <c r="I200" s="189"/>
      <c r="J200" s="190"/>
      <c r="K200" s="190"/>
      <c r="L200" s="190"/>
      <c r="M200" s="191"/>
      <c r="N200" s="172"/>
      <c r="O200" s="172"/>
      <c r="P200" s="172"/>
      <c r="Q200" s="172"/>
    </row>
    <row r="201" spans="6:17" s="170" customFormat="1" x14ac:dyDescent="0.2">
      <c r="F201" s="187"/>
      <c r="G201" s="187"/>
      <c r="H201" s="188"/>
      <c r="I201" s="189"/>
      <c r="J201" s="190"/>
      <c r="K201" s="190"/>
      <c r="L201" s="190"/>
      <c r="M201" s="191"/>
      <c r="N201" s="172"/>
      <c r="O201" s="172"/>
      <c r="P201" s="172"/>
      <c r="Q201" s="172"/>
    </row>
    <row r="202" spans="6:17" s="170" customFormat="1" x14ac:dyDescent="0.2">
      <c r="F202" s="187"/>
      <c r="G202" s="187"/>
      <c r="H202" s="188"/>
      <c r="I202" s="189"/>
      <c r="J202" s="190"/>
      <c r="K202" s="190"/>
      <c r="L202" s="190"/>
      <c r="M202" s="191"/>
      <c r="N202" s="172"/>
      <c r="O202" s="172"/>
      <c r="P202" s="172"/>
      <c r="Q202" s="172"/>
    </row>
    <row r="203" spans="6:17" s="170" customFormat="1" x14ac:dyDescent="0.2">
      <c r="F203" s="187"/>
      <c r="G203" s="187"/>
      <c r="H203" s="188"/>
      <c r="I203" s="189"/>
      <c r="J203" s="190"/>
      <c r="K203" s="190"/>
      <c r="L203" s="190"/>
      <c r="M203" s="191"/>
      <c r="N203" s="172"/>
      <c r="O203" s="172"/>
      <c r="P203" s="172"/>
      <c r="Q203" s="172"/>
    </row>
    <row r="204" spans="6:17" s="170" customFormat="1" x14ac:dyDescent="0.2">
      <c r="F204" s="187"/>
      <c r="G204" s="187"/>
      <c r="H204" s="188"/>
      <c r="I204" s="189"/>
      <c r="J204" s="190"/>
      <c r="K204" s="190"/>
      <c r="L204" s="190"/>
      <c r="M204" s="191"/>
      <c r="N204" s="172"/>
      <c r="O204" s="172"/>
      <c r="P204" s="172"/>
      <c r="Q204" s="172"/>
    </row>
    <row r="205" spans="6:17" s="170" customFormat="1" x14ac:dyDescent="0.2">
      <c r="F205" s="187"/>
      <c r="G205" s="187"/>
      <c r="H205" s="188"/>
      <c r="I205" s="189"/>
      <c r="J205" s="190"/>
      <c r="K205" s="190"/>
      <c r="L205" s="190"/>
      <c r="M205" s="191"/>
      <c r="N205" s="172"/>
      <c r="O205" s="172"/>
      <c r="P205" s="172"/>
      <c r="Q205" s="172"/>
    </row>
    <row r="206" spans="6:17" s="170" customFormat="1" x14ac:dyDescent="0.2">
      <c r="F206" s="187"/>
      <c r="G206" s="187"/>
      <c r="H206" s="188"/>
      <c r="I206" s="189"/>
      <c r="J206" s="190"/>
      <c r="K206" s="190"/>
      <c r="L206" s="190"/>
      <c r="M206" s="191"/>
      <c r="N206" s="172"/>
      <c r="O206" s="172"/>
      <c r="P206" s="172"/>
      <c r="Q206" s="172"/>
    </row>
    <row r="207" spans="6:17" s="170" customFormat="1" x14ac:dyDescent="0.2">
      <c r="F207" s="187"/>
      <c r="G207" s="187"/>
      <c r="H207" s="188"/>
      <c r="I207" s="189"/>
      <c r="J207" s="190"/>
      <c r="K207" s="190"/>
      <c r="L207" s="190"/>
      <c r="M207" s="191"/>
      <c r="N207" s="172"/>
      <c r="O207" s="172"/>
      <c r="P207" s="172"/>
      <c r="Q207" s="172"/>
    </row>
    <row r="208" spans="6:17" s="170" customFormat="1" x14ac:dyDescent="0.2">
      <c r="F208" s="187"/>
      <c r="G208" s="187"/>
      <c r="H208" s="188"/>
      <c r="I208" s="189"/>
      <c r="J208" s="190"/>
      <c r="K208" s="190"/>
      <c r="L208" s="190"/>
      <c r="M208" s="191"/>
      <c r="N208" s="172"/>
      <c r="O208" s="172"/>
      <c r="P208" s="172"/>
      <c r="Q208" s="172"/>
    </row>
    <row r="209" spans="6:17" s="170" customFormat="1" x14ac:dyDescent="0.2">
      <c r="F209" s="187"/>
      <c r="G209" s="187"/>
      <c r="H209" s="188"/>
      <c r="I209" s="189"/>
      <c r="J209" s="190"/>
      <c r="K209" s="190"/>
      <c r="L209" s="190"/>
      <c r="M209" s="191"/>
      <c r="N209" s="172"/>
      <c r="O209" s="172"/>
      <c r="P209" s="172"/>
      <c r="Q209" s="172"/>
    </row>
    <row r="210" spans="6:17" s="170" customFormat="1" x14ac:dyDescent="0.2">
      <c r="F210" s="187"/>
      <c r="G210" s="187"/>
      <c r="H210" s="188"/>
      <c r="I210" s="189"/>
      <c r="J210" s="190"/>
      <c r="K210" s="190"/>
      <c r="L210" s="190"/>
      <c r="M210" s="191"/>
      <c r="N210" s="172"/>
      <c r="O210" s="172"/>
      <c r="P210" s="172"/>
      <c r="Q210" s="172"/>
    </row>
    <row r="211" spans="6:17" s="170" customFormat="1" x14ac:dyDescent="0.2">
      <c r="F211" s="187"/>
      <c r="G211" s="187"/>
      <c r="H211" s="188"/>
      <c r="I211" s="189"/>
      <c r="J211" s="190"/>
      <c r="K211" s="190"/>
      <c r="L211" s="190"/>
      <c r="M211" s="191"/>
      <c r="N211" s="172"/>
      <c r="O211" s="172"/>
      <c r="P211" s="172"/>
      <c r="Q211" s="172"/>
    </row>
    <row r="212" spans="6:17" s="170" customFormat="1" x14ac:dyDescent="0.2">
      <c r="F212" s="187"/>
      <c r="G212" s="187"/>
      <c r="H212" s="188"/>
      <c r="I212" s="189"/>
      <c r="J212" s="190"/>
      <c r="K212" s="190"/>
      <c r="L212" s="190"/>
      <c r="M212" s="191"/>
      <c r="N212" s="172"/>
      <c r="O212" s="172"/>
      <c r="P212" s="172"/>
      <c r="Q212" s="172"/>
    </row>
    <row r="213" spans="6:17" s="170" customFormat="1" x14ac:dyDescent="0.2">
      <c r="F213" s="187"/>
      <c r="G213" s="187"/>
      <c r="H213" s="188"/>
      <c r="I213" s="189"/>
      <c r="J213" s="190"/>
      <c r="K213" s="190"/>
      <c r="L213" s="190"/>
      <c r="M213" s="191"/>
      <c r="N213" s="172"/>
      <c r="O213" s="172"/>
      <c r="P213" s="172"/>
      <c r="Q213" s="172"/>
    </row>
    <row r="214" spans="6:17" s="170" customFormat="1" x14ac:dyDescent="0.2">
      <c r="F214" s="187"/>
      <c r="G214" s="187"/>
      <c r="H214" s="188"/>
      <c r="I214" s="189"/>
      <c r="J214" s="190"/>
      <c r="K214" s="190"/>
      <c r="L214" s="190"/>
      <c r="M214" s="191"/>
      <c r="N214" s="172"/>
      <c r="O214" s="172"/>
      <c r="P214" s="172"/>
      <c r="Q214" s="172"/>
    </row>
    <row r="215" spans="6:17" s="170" customFormat="1" x14ac:dyDescent="0.2">
      <c r="F215" s="187"/>
      <c r="G215" s="187"/>
      <c r="H215" s="188"/>
      <c r="I215" s="189"/>
      <c r="J215" s="190"/>
      <c r="K215" s="190"/>
      <c r="L215" s="190"/>
      <c r="M215" s="191"/>
      <c r="N215" s="172"/>
      <c r="O215" s="172"/>
      <c r="P215" s="172"/>
      <c r="Q215" s="172"/>
    </row>
    <row r="216" spans="6:17" s="170" customFormat="1" x14ac:dyDescent="0.2">
      <c r="F216" s="187"/>
      <c r="G216" s="187"/>
      <c r="H216" s="188"/>
      <c r="I216" s="189"/>
      <c r="J216" s="190"/>
      <c r="K216" s="190"/>
      <c r="L216" s="190"/>
      <c r="M216" s="191"/>
      <c r="N216" s="172"/>
      <c r="O216" s="172"/>
      <c r="P216" s="172"/>
      <c r="Q216" s="172"/>
    </row>
    <row r="217" spans="6:17" s="170" customFormat="1" x14ac:dyDescent="0.2">
      <c r="F217" s="187"/>
      <c r="G217" s="187"/>
      <c r="H217" s="188"/>
      <c r="I217" s="189"/>
      <c r="J217" s="190"/>
      <c r="K217" s="190"/>
      <c r="L217" s="190"/>
      <c r="M217" s="191"/>
      <c r="N217" s="172"/>
      <c r="O217" s="172"/>
      <c r="P217" s="172"/>
      <c r="Q217" s="172"/>
    </row>
    <row r="218" spans="6:17" s="170" customFormat="1" x14ac:dyDescent="0.2">
      <c r="F218" s="187"/>
      <c r="G218" s="187"/>
      <c r="H218" s="188"/>
      <c r="I218" s="189"/>
      <c r="J218" s="190"/>
      <c r="K218" s="190"/>
      <c r="L218" s="190"/>
      <c r="M218" s="191"/>
      <c r="N218" s="172"/>
      <c r="O218" s="172"/>
      <c r="P218" s="172"/>
      <c r="Q218" s="172"/>
    </row>
    <row r="219" spans="6:17" s="170" customFormat="1" x14ac:dyDescent="0.2">
      <c r="F219" s="187"/>
      <c r="G219" s="187"/>
      <c r="H219" s="188"/>
      <c r="I219" s="189"/>
      <c r="J219" s="190"/>
      <c r="K219" s="190"/>
      <c r="L219" s="190"/>
      <c r="M219" s="191"/>
      <c r="N219" s="172"/>
      <c r="O219" s="172"/>
      <c r="P219" s="172"/>
      <c r="Q219" s="172"/>
    </row>
    <row r="220" spans="6:17" s="170" customFormat="1" x14ac:dyDescent="0.2">
      <c r="F220" s="187"/>
      <c r="G220" s="187"/>
      <c r="H220" s="188"/>
      <c r="I220" s="189"/>
      <c r="J220" s="190"/>
      <c r="K220" s="190"/>
      <c r="L220" s="190"/>
      <c r="M220" s="191"/>
      <c r="N220" s="172"/>
      <c r="O220" s="172"/>
      <c r="P220" s="172"/>
      <c r="Q220" s="172"/>
    </row>
    <row r="221" spans="6:17" s="170" customFormat="1" x14ac:dyDescent="0.2">
      <c r="F221" s="187"/>
      <c r="G221" s="187"/>
      <c r="H221" s="188"/>
      <c r="I221" s="189"/>
      <c r="J221" s="190"/>
      <c r="K221" s="190"/>
      <c r="L221" s="190"/>
      <c r="M221" s="191"/>
      <c r="N221" s="172"/>
      <c r="O221" s="172"/>
      <c r="P221" s="172"/>
      <c r="Q221" s="172"/>
    </row>
    <row r="222" spans="6:17" s="170" customFormat="1" x14ac:dyDescent="0.2">
      <c r="F222" s="187"/>
      <c r="G222" s="187"/>
      <c r="H222" s="188"/>
      <c r="I222" s="189"/>
      <c r="J222" s="190"/>
      <c r="K222" s="190"/>
      <c r="L222" s="190"/>
      <c r="M222" s="191"/>
      <c r="N222" s="172"/>
      <c r="O222" s="172"/>
      <c r="P222" s="172"/>
      <c r="Q222" s="172"/>
    </row>
    <row r="223" spans="6:17" s="170" customFormat="1" x14ac:dyDescent="0.2">
      <c r="F223" s="187"/>
      <c r="G223" s="187"/>
      <c r="H223" s="188"/>
      <c r="I223" s="189"/>
      <c r="J223" s="190"/>
      <c r="K223" s="190"/>
      <c r="L223" s="190"/>
      <c r="M223" s="191"/>
      <c r="N223" s="172"/>
      <c r="O223" s="172"/>
      <c r="P223" s="172"/>
      <c r="Q223" s="172"/>
    </row>
    <row r="224" spans="6:17" s="170" customFormat="1" x14ac:dyDescent="0.2">
      <c r="F224" s="187"/>
      <c r="G224" s="187"/>
      <c r="H224" s="188"/>
      <c r="I224" s="189"/>
      <c r="J224" s="190"/>
      <c r="K224" s="190"/>
      <c r="L224" s="190"/>
      <c r="M224" s="191"/>
      <c r="N224" s="172"/>
      <c r="O224" s="172"/>
      <c r="P224" s="172"/>
      <c r="Q224" s="172"/>
    </row>
    <row r="225" spans="6:17" s="170" customFormat="1" x14ac:dyDescent="0.2">
      <c r="F225" s="187"/>
      <c r="G225" s="187"/>
      <c r="H225" s="188"/>
      <c r="I225" s="189"/>
      <c r="J225" s="190"/>
      <c r="K225" s="190"/>
      <c r="L225" s="190"/>
      <c r="M225" s="191"/>
      <c r="N225" s="172"/>
      <c r="O225" s="172"/>
      <c r="P225" s="172"/>
      <c r="Q225" s="172"/>
    </row>
    <row r="226" spans="6:17" s="170" customFormat="1" x14ac:dyDescent="0.2">
      <c r="F226" s="187"/>
      <c r="G226" s="187"/>
      <c r="H226" s="188"/>
      <c r="I226" s="189"/>
      <c r="J226" s="190"/>
      <c r="K226" s="190"/>
      <c r="L226" s="190"/>
      <c r="M226" s="191"/>
      <c r="N226" s="172"/>
      <c r="O226" s="172"/>
      <c r="P226" s="172"/>
      <c r="Q226" s="172"/>
    </row>
    <row r="227" spans="6:17" s="170" customFormat="1" x14ac:dyDescent="0.2">
      <c r="F227" s="187"/>
      <c r="G227" s="187"/>
      <c r="H227" s="188"/>
      <c r="I227" s="189"/>
      <c r="J227" s="190"/>
      <c r="K227" s="190"/>
      <c r="L227" s="190"/>
      <c r="M227" s="191"/>
      <c r="N227" s="172"/>
      <c r="O227" s="172"/>
      <c r="P227" s="172"/>
      <c r="Q227" s="172"/>
    </row>
    <row r="228" spans="6:17" s="170" customFormat="1" x14ac:dyDescent="0.2">
      <c r="F228" s="187"/>
      <c r="G228" s="187"/>
      <c r="H228" s="188"/>
      <c r="I228" s="189"/>
      <c r="J228" s="190"/>
      <c r="K228" s="190"/>
      <c r="L228" s="190"/>
      <c r="M228" s="191"/>
      <c r="N228" s="172"/>
      <c r="O228" s="172"/>
      <c r="P228" s="172"/>
      <c r="Q228" s="172"/>
    </row>
    <row r="229" spans="6:17" s="170" customFormat="1" x14ac:dyDescent="0.2">
      <c r="F229" s="187"/>
      <c r="G229" s="187"/>
      <c r="H229" s="188"/>
      <c r="I229" s="189"/>
      <c r="J229" s="190"/>
      <c r="K229" s="190"/>
      <c r="L229" s="190"/>
      <c r="M229" s="191"/>
      <c r="N229" s="172"/>
      <c r="O229" s="172"/>
      <c r="P229" s="172"/>
      <c r="Q229" s="172"/>
    </row>
    <row r="230" spans="6:17" s="170" customFormat="1" x14ac:dyDescent="0.2">
      <c r="F230" s="187"/>
      <c r="G230" s="187"/>
      <c r="H230" s="188"/>
      <c r="I230" s="189"/>
      <c r="J230" s="190"/>
      <c r="K230" s="190"/>
      <c r="L230" s="190"/>
      <c r="M230" s="191"/>
      <c r="N230" s="172"/>
      <c r="O230" s="172"/>
      <c r="P230" s="172"/>
      <c r="Q230" s="172"/>
    </row>
    <row r="231" spans="6:17" s="170" customFormat="1" x14ac:dyDescent="0.2">
      <c r="F231" s="187"/>
      <c r="G231" s="187"/>
      <c r="H231" s="188"/>
      <c r="I231" s="189"/>
      <c r="J231" s="190"/>
      <c r="K231" s="190"/>
      <c r="L231" s="190"/>
      <c r="M231" s="191"/>
      <c r="N231" s="172"/>
      <c r="O231" s="172"/>
      <c r="P231" s="172"/>
      <c r="Q231" s="172"/>
    </row>
    <row r="232" spans="6:17" s="170" customFormat="1" x14ac:dyDescent="0.2">
      <c r="F232" s="187"/>
      <c r="G232" s="187"/>
      <c r="H232" s="188"/>
      <c r="I232" s="189"/>
      <c r="J232" s="190"/>
      <c r="K232" s="190"/>
      <c r="L232" s="190"/>
      <c r="M232" s="191"/>
      <c r="N232" s="172"/>
      <c r="O232" s="172"/>
      <c r="P232" s="172"/>
      <c r="Q232" s="172"/>
    </row>
    <row r="233" spans="6:17" s="170" customFormat="1" x14ac:dyDescent="0.2">
      <c r="F233" s="187"/>
      <c r="G233" s="187"/>
      <c r="H233" s="188"/>
      <c r="I233" s="189"/>
      <c r="J233" s="190"/>
      <c r="K233" s="190"/>
      <c r="L233" s="190"/>
      <c r="M233" s="191"/>
      <c r="N233" s="172"/>
      <c r="O233" s="172"/>
      <c r="P233" s="172"/>
      <c r="Q233" s="172"/>
    </row>
    <row r="234" spans="6:17" s="170" customFormat="1" x14ac:dyDescent="0.2">
      <c r="F234" s="187"/>
      <c r="G234" s="187"/>
      <c r="H234" s="188"/>
      <c r="I234" s="189"/>
      <c r="J234" s="190"/>
      <c r="K234" s="190"/>
      <c r="L234" s="190"/>
      <c r="M234" s="191"/>
      <c r="N234" s="172"/>
      <c r="O234" s="172"/>
      <c r="P234" s="172"/>
      <c r="Q234" s="172"/>
    </row>
    <row r="235" spans="6:17" s="170" customFormat="1" x14ac:dyDescent="0.2">
      <c r="F235" s="187"/>
      <c r="G235" s="187"/>
      <c r="H235" s="188"/>
      <c r="I235" s="189"/>
      <c r="J235" s="190"/>
      <c r="K235" s="190"/>
      <c r="L235" s="190"/>
      <c r="M235" s="191"/>
      <c r="N235" s="172"/>
      <c r="O235" s="172"/>
      <c r="P235" s="172"/>
      <c r="Q235" s="172"/>
    </row>
    <row r="236" spans="6:17" s="170" customFormat="1" x14ac:dyDescent="0.2">
      <c r="F236" s="187"/>
      <c r="G236" s="187"/>
      <c r="H236" s="188"/>
      <c r="I236" s="189"/>
      <c r="J236" s="190"/>
      <c r="K236" s="190"/>
      <c r="L236" s="190"/>
      <c r="M236" s="191"/>
      <c r="N236" s="172"/>
      <c r="O236" s="172"/>
      <c r="P236" s="172"/>
      <c r="Q236" s="172"/>
    </row>
    <row r="237" spans="6:17" s="170" customFormat="1" x14ac:dyDescent="0.2">
      <c r="F237" s="187"/>
      <c r="G237" s="187"/>
      <c r="H237" s="188"/>
      <c r="I237" s="189"/>
      <c r="J237" s="190"/>
      <c r="K237" s="190"/>
      <c r="L237" s="190"/>
      <c r="M237" s="191"/>
      <c r="N237" s="172"/>
      <c r="O237" s="172"/>
      <c r="P237" s="172"/>
      <c r="Q237" s="172"/>
    </row>
    <row r="238" spans="6:17" s="170" customFormat="1" x14ac:dyDescent="0.2">
      <c r="F238" s="187"/>
      <c r="G238" s="187"/>
      <c r="H238" s="188"/>
      <c r="I238" s="189"/>
      <c r="J238" s="190"/>
      <c r="K238" s="190"/>
      <c r="L238" s="190"/>
      <c r="M238" s="191"/>
      <c r="N238" s="172"/>
      <c r="O238" s="172"/>
      <c r="P238" s="172"/>
      <c r="Q238" s="172"/>
    </row>
    <row r="239" spans="6:17" s="170" customFormat="1" x14ac:dyDescent="0.2">
      <c r="F239" s="187"/>
      <c r="G239" s="187"/>
      <c r="H239" s="188"/>
      <c r="I239" s="189"/>
      <c r="J239" s="190"/>
      <c r="K239" s="190"/>
      <c r="L239" s="190"/>
      <c r="M239" s="191"/>
      <c r="N239" s="172"/>
      <c r="O239" s="172"/>
      <c r="P239" s="172"/>
      <c r="Q239" s="172"/>
    </row>
    <row r="240" spans="6:17" s="170" customFormat="1" x14ac:dyDescent="0.2">
      <c r="F240" s="187"/>
      <c r="G240" s="187"/>
      <c r="H240" s="188"/>
      <c r="I240" s="189"/>
      <c r="J240" s="190"/>
      <c r="K240" s="190"/>
      <c r="L240" s="190"/>
      <c r="M240" s="191"/>
      <c r="N240" s="172"/>
      <c r="O240" s="172"/>
      <c r="P240" s="172"/>
      <c r="Q240" s="172"/>
    </row>
    <row r="241" spans="6:17" s="170" customFormat="1" x14ac:dyDescent="0.2">
      <c r="F241" s="187"/>
      <c r="G241" s="187"/>
      <c r="H241" s="188"/>
      <c r="I241" s="189"/>
      <c r="J241" s="190"/>
      <c r="K241" s="190"/>
      <c r="L241" s="190"/>
      <c r="M241" s="191"/>
      <c r="N241" s="172"/>
      <c r="O241" s="172"/>
      <c r="P241" s="172"/>
      <c r="Q241" s="172"/>
    </row>
    <row r="242" spans="6:17" s="170" customFormat="1" x14ac:dyDescent="0.2">
      <c r="F242" s="187"/>
      <c r="G242" s="187"/>
      <c r="H242" s="188"/>
      <c r="I242" s="189"/>
      <c r="J242" s="190"/>
      <c r="K242" s="190"/>
      <c r="L242" s="190"/>
      <c r="M242" s="191"/>
      <c r="N242" s="172"/>
      <c r="O242" s="172"/>
      <c r="P242" s="172"/>
      <c r="Q242" s="172"/>
    </row>
    <row r="243" spans="6:17" s="170" customFormat="1" x14ac:dyDescent="0.2">
      <c r="F243" s="187"/>
      <c r="G243" s="187"/>
      <c r="H243" s="188"/>
      <c r="I243" s="189"/>
      <c r="J243" s="190"/>
      <c r="K243" s="190"/>
      <c r="L243" s="190"/>
      <c r="M243" s="191"/>
      <c r="N243" s="172"/>
      <c r="O243" s="172"/>
      <c r="P243" s="172"/>
      <c r="Q243" s="172"/>
    </row>
    <row r="244" spans="6:17" s="170" customFormat="1" x14ac:dyDescent="0.2">
      <c r="F244" s="187"/>
      <c r="G244" s="187"/>
      <c r="H244" s="188"/>
      <c r="I244" s="189"/>
      <c r="J244" s="190"/>
      <c r="K244" s="190"/>
      <c r="L244" s="190"/>
      <c r="M244" s="191"/>
      <c r="N244" s="172"/>
      <c r="O244" s="172"/>
      <c r="P244" s="172"/>
      <c r="Q244" s="172"/>
    </row>
    <row r="245" spans="6:17" s="170" customFormat="1" x14ac:dyDescent="0.2">
      <c r="F245" s="187"/>
      <c r="G245" s="187"/>
      <c r="H245" s="188"/>
      <c r="I245" s="189"/>
      <c r="J245" s="190"/>
      <c r="K245" s="190"/>
      <c r="L245" s="190"/>
      <c r="M245" s="191"/>
      <c r="N245" s="172"/>
      <c r="O245" s="172"/>
      <c r="P245" s="172"/>
      <c r="Q245" s="172"/>
    </row>
    <row r="246" spans="6:17" s="170" customFormat="1" x14ac:dyDescent="0.2">
      <c r="F246" s="187"/>
      <c r="G246" s="187"/>
      <c r="H246" s="188"/>
      <c r="I246" s="189"/>
      <c r="J246" s="190"/>
      <c r="K246" s="190"/>
      <c r="L246" s="190"/>
      <c r="M246" s="191"/>
      <c r="N246" s="172"/>
      <c r="O246" s="172"/>
      <c r="P246" s="172"/>
      <c r="Q246" s="172"/>
    </row>
    <row r="247" spans="6:17" s="170" customFormat="1" x14ac:dyDescent="0.2">
      <c r="F247" s="187"/>
      <c r="G247" s="187"/>
      <c r="H247" s="188"/>
      <c r="I247" s="189"/>
      <c r="J247" s="190"/>
      <c r="K247" s="190"/>
      <c r="L247" s="190"/>
      <c r="M247" s="191"/>
      <c r="N247" s="172"/>
      <c r="O247" s="172"/>
      <c r="P247" s="172"/>
      <c r="Q247" s="172"/>
    </row>
    <row r="248" spans="6:17" s="170" customFormat="1" x14ac:dyDescent="0.2">
      <c r="F248" s="187"/>
      <c r="G248" s="187"/>
      <c r="H248" s="188"/>
      <c r="I248" s="189"/>
      <c r="J248" s="190"/>
      <c r="K248" s="190"/>
      <c r="L248" s="190"/>
      <c r="M248" s="191"/>
      <c r="N248" s="172"/>
      <c r="O248" s="172"/>
      <c r="P248" s="172"/>
      <c r="Q248" s="172"/>
    </row>
    <row r="249" spans="6:17" s="170" customFormat="1" x14ac:dyDescent="0.2">
      <c r="F249" s="187"/>
      <c r="G249" s="187"/>
      <c r="H249" s="188"/>
      <c r="I249" s="189"/>
      <c r="J249" s="190"/>
      <c r="K249" s="190"/>
      <c r="L249" s="190"/>
      <c r="M249" s="191"/>
      <c r="N249" s="172"/>
      <c r="O249" s="172"/>
      <c r="P249" s="172"/>
      <c r="Q249" s="172"/>
    </row>
    <row r="250" spans="6:17" s="170" customFormat="1" x14ac:dyDescent="0.2">
      <c r="F250" s="187"/>
      <c r="G250" s="187"/>
      <c r="H250" s="188"/>
      <c r="I250" s="189"/>
      <c r="J250" s="190"/>
      <c r="K250" s="190"/>
      <c r="L250" s="190"/>
      <c r="M250" s="191"/>
      <c r="N250" s="172"/>
      <c r="O250" s="172"/>
      <c r="P250" s="172"/>
      <c r="Q250" s="172"/>
    </row>
    <row r="251" spans="6:17" s="170" customFormat="1" x14ac:dyDescent="0.2">
      <c r="F251" s="187"/>
      <c r="G251" s="187"/>
      <c r="H251" s="188"/>
      <c r="I251" s="189"/>
      <c r="J251" s="190"/>
      <c r="K251" s="190"/>
      <c r="L251" s="190"/>
      <c r="M251" s="191"/>
      <c r="N251" s="172"/>
      <c r="O251" s="172"/>
      <c r="P251" s="172"/>
      <c r="Q251" s="172"/>
    </row>
    <row r="252" spans="6:17" s="170" customFormat="1" x14ac:dyDescent="0.2">
      <c r="F252" s="187"/>
      <c r="G252" s="187"/>
      <c r="H252" s="188"/>
      <c r="I252" s="189"/>
      <c r="J252" s="190"/>
      <c r="K252" s="190"/>
      <c r="L252" s="190"/>
      <c r="M252" s="191"/>
      <c r="N252" s="172"/>
      <c r="O252" s="172"/>
      <c r="P252" s="172"/>
      <c r="Q252" s="172"/>
    </row>
    <row r="253" spans="6:17" s="170" customFormat="1" x14ac:dyDescent="0.2">
      <c r="F253" s="187"/>
      <c r="G253" s="187"/>
      <c r="H253" s="188"/>
      <c r="I253" s="189"/>
      <c r="J253" s="190"/>
      <c r="K253" s="190"/>
      <c r="L253" s="190"/>
      <c r="M253" s="191"/>
      <c r="N253" s="172"/>
      <c r="O253" s="172"/>
      <c r="P253" s="172"/>
      <c r="Q253" s="172"/>
    </row>
    <row r="254" spans="6:17" s="170" customFormat="1" x14ac:dyDescent="0.2">
      <c r="F254" s="187"/>
      <c r="G254" s="187"/>
      <c r="H254" s="188"/>
      <c r="I254" s="189"/>
      <c r="J254" s="190"/>
      <c r="K254" s="190"/>
      <c r="L254" s="190"/>
      <c r="M254" s="191"/>
      <c r="N254" s="172"/>
      <c r="O254" s="172"/>
      <c r="P254" s="172"/>
      <c r="Q254" s="172"/>
    </row>
    <row r="255" spans="6:17" s="170" customFormat="1" x14ac:dyDescent="0.2">
      <c r="F255" s="187"/>
      <c r="G255" s="187"/>
      <c r="H255" s="188"/>
      <c r="I255" s="189"/>
      <c r="J255" s="190"/>
      <c r="K255" s="190"/>
      <c r="L255" s="190"/>
      <c r="M255" s="191"/>
      <c r="N255" s="172"/>
      <c r="O255" s="172"/>
      <c r="P255" s="172"/>
      <c r="Q255" s="172"/>
    </row>
    <row r="256" spans="6:17" s="170" customFormat="1" x14ac:dyDescent="0.2">
      <c r="F256" s="187"/>
      <c r="G256" s="187"/>
      <c r="H256" s="188"/>
      <c r="I256" s="189"/>
      <c r="J256" s="190"/>
      <c r="K256" s="190"/>
      <c r="L256" s="190"/>
      <c r="M256" s="191"/>
      <c r="N256" s="172"/>
      <c r="O256" s="172"/>
      <c r="P256" s="172"/>
      <c r="Q256" s="172"/>
    </row>
    <row r="257" spans="6:17" s="170" customFormat="1" x14ac:dyDescent="0.2">
      <c r="F257" s="187"/>
      <c r="G257" s="187"/>
      <c r="H257" s="188"/>
      <c r="I257" s="189"/>
      <c r="J257" s="190"/>
      <c r="K257" s="190"/>
      <c r="L257" s="190"/>
      <c r="M257" s="191"/>
      <c r="N257" s="172"/>
      <c r="O257" s="172"/>
      <c r="P257" s="172"/>
      <c r="Q257" s="172"/>
    </row>
    <row r="258" spans="6:17" s="170" customFormat="1" x14ac:dyDescent="0.2">
      <c r="F258" s="187"/>
      <c r="G258" s="187"/>
      <c r="H258" s="188"/>
      <c r="I258" s="189"/>
      <c r="J258" s="190"/>
      <c r="K258" s="190"/>
      <c r="L258" s="190"/>
      <c r="M258" s="191"/>
      <c r="N258" s="172"/>
      <c r="O258" s="172"/>
      <c r="P258" s="172"/>
      <c r="Q258" s="172"/>
    </row>
    <row r="259" spans="6:17" s="170" customFormat="1" x14ac:dyDescent="0.2">
      <c r="F259" s="187"/>
      <c r="G259" s="187"/>
      <c r="H259" s="188"/>
      <c r="I259" s="189"/>
      <c r="J259" s="190"/>
      <c r="K259" s="190"/>
      <c r="L259" s="190"/>
      <c r="M259" s="191"/>
      <c r="N259" s="172"/>
      <c r="O259" s="172"/>
      <c r="P259" s="172"/>
      <c r="Q259" s="172"/>
    </row>
    <row r="260" spans="6:17" s="170" customFormat="1" x14ac:dyDescent="0.2">
      <c r="F260" s="187"/>
      <c r="G260" s="187"/>
      <c r="H260" s="188"/>
      <c r="I260" s="189"/>
      <c r="J260" s="190"/>
      <c r="K260" s="190"/>
      <c r="L260" s="190"/>
      <c r="M260" s="191"/>
      <c r="N260" s="172"/>
      <c r="O260" s="172"/>
      <c r="P260" s="172"/>
      <c r="Q260" s="172"/>
    </row>
    <row r="261" spans="6:17" s="170" customFormat="1" x14ac:dyDescent="0.2">
      <c r="F261" s="187"/>
      <c r="G261" s="187"/>
      <c r="H261" s="188"/>
      <c r="I261" s="189"/>
      <c r="J261" s="190"/>
      <c r="K261" s="190"/>
      <c r="L261" s="190"/>
      <c r="M261" s="191"/>
      <c r="N261" s="172"/>
      <c r="O261" s="172"/>
      <c r="P261" s="172"/>
      <c r="Q261" s="172"/>
    </row>
    <row r="262" spans="6:17" s="170" customFormat="1" x14ac:dyDescent="0.2">
      <c r="F262" s="187"/>
      <c r="G262" s="187"/>
      <c r="H262" s="188"/>
      <c r="I262" s="189"/>
      <c r="J262" s="190"/>
      <c r="K262" s="190"/>
      <c r="L262" s="190"/>
      <c r="M262" s="191"/>
      <c r="N262" s="172"/>
      <c r="O262" s="172"/>
      <c r="P262" s="172"/>
      <c r="Q262" s="172"/>
    </row>
    <row r="263" spans="6:17" s="170" customFormat="1" x14ac:dyDescent="0.2">
      <c r="F263" s="187"/>
      <c r="G263" s="187"/>
      <c r="H263" s="188"/>
      <c r="I263" s="189"/>
      <c r="J263" s="190"/>
      <c r="K263" s="190"/>
      <c r="L263" s="190"/>
      <c r="M263" s="191"/>
      <c r="N263" s="172"/>
      <c r="O263" s="172"/>
      <c r="P263" s="172"/>
      <c r="Q263" s="172"/>
    </row>
    <row r="264" spans="6:17" s="170" customFormat="1" x14ac:dyDescent="0.2">
      <c r="F264" s="187"/>
      <c r="G264" s="187"/>
      <c r="H264" s="188"/>
      <c r="I264" s="189"/>
      <c r="J264" s="190"/>
      <c r="K264" s="190"/>
      <c r="L264" s="190"/>
      <c r="M264" s="191"/>
      <c r="N264" s="172"/>
      <c r="O264" s="172"/>
      <c r="P264" s="172"/>
      <c r="Q264" s="172"/>
    </row>
    <row r="265" spans="6:17" s="170" customFormat="1" x14ac:dyDescent="0.2">
      <c r="F265" s="187"/>
      <c r="G265" s="187"/>
      <c r="H265" s="188"/>
      <c r="I265" s="189"/>
      <c r="J265" s="190"/>
      <c r="K265" s="190"/>
      <c r="L265" s="190"/>
      <c r="M265" s="191"/>
      <c r="N265" s="172"/>
      <c r="O265" s="172"/>
      <c r="P265" s="172"/>
      <c r="Q265" s="172"/>
    </row>
    <row r="266" spans="6:17" s="170" customFormat="1" x14ac:dyDescent="0.2">
      <c r="F266" s="187"/>
      <c r="G266" s="187"/>
      <c r="H266" s="188"/>
      <c r="I266" s="189"/>
      <c r="J266" s="190"/>
      <c r="K266" s="190"/>
      <c r="L266" s="190"/>
      <c r="M266" s="191"/>
      <c r="N266" s="172"/>
      <c r="O266" s="172"/>
      <c r="P266" s="172"/>
      <c r="Q266" s="172"/>
    </row>
    <row r="267" spans="6:17" s="170" customFormat="1" x14ac:dyDescent="0.2">
      <c r="F267" s="187"/>
      <c r="G267" s="187"/>
      <c r="H267" s="188"/>
      <c r="I267" s="189"/>
      <c r="J267" s="190"/>
      <c r="K267" s="190"/>
      <c r="L267" s="190"/>
      <c r="M267" s="191"/>
      <c r="N267" s="172"/>
      <c r="O267" s="172"/>
      <c r="P267" s="172"/>
      <c r="Q267" s="172"/>
    </row>
    <row r="268" spans="6:17" s="170" customFormat="1" x14ac:dyDescent="0.2">
      <c r="F268" s="187"/>
      <c r="G268" s="187"/>
      <c r="H268" s="188"/>
      <c r="I268" s="189"/>
      <c r="J268" s="190"/>
      <c r="K268" s="190"/>
      <c r="L268" s="190"/>
      <c r="M268" s="191"/>
      <c r="N268" s="172"/>
      <c r="O268" s="172"/>
      <c r="P268" s="172"/>
      <c r="Q268" s="172"/>
    </row>
    <row r="269" spans="6:17" s="170" customFormat="1" x14ac:dyDescent="0.2">
      <c r="F269" s="187"/>
      <c r="G269" s="187"/>
      <c r="H269" s="188"/>
      <c r="I269" s="189"/>
      <c r="J269" s="190"/>
      <c r="K269" s="190"/>
      <c r="L269" s="190"/>
      <c r="M269" s="191"/>
      <c r="N269" s="172"/>
      <c r="O269" s="172"/>
      <c r="P269" s="172"/>
      <c r="Q269" s="172"/>
    </row>
    <row r="270" spans="6:17" s="170" customFormat="1" x14ac:dyDescent="0.2">
      <c r="F270" s="187"/>
      <c r="G270" s="187"/>
      <c r="H270" s="188"/>
      <c r="I270" s="189"/>
      <c r="J270" s="190"/>
      <c r="K270" s="190"/>
      <c r="L270" s="190"/>
      <c r="M270" s="191"/>
      <c r="N270" s="172"/>
      <c r="O270" s="172"/>
      <c r="P270" s="172"/>
      <c r="Q270" s="172"/>
    </row>
    <row r="271" spans="6:17" s="170" customFormat="1" x14ac:dyDescent="0.2">
      <c r="F271" s="187"/>
      <c r="G271" s="187"/>
      <c r="H271" s="188"/>
      <c r="I271" s="189"/>
      <c r="J271" s="190"/>
      <c r="K271" s="190"/>
      <c r="L271" s="190"/>
      <c r="M271" s="191"/>
      <c r="N271" s="172"/>
      <c r="O271" s="172"/>
      <c r="P271" s="172"/>
      <c r="Q271" s="172"/>
    </row>
    <row r="272" spans="6:17" s="170" customFormat="1" x14ac:dyDescent="0.2">
      <c r="F272" s="187"/>
      <c r="G272" s="187"/>
      <c r="H272" s="188"/>
      <c r="I272" s="189"/>
      <c r="J272" s="190"/>
      <c r="K272" s="190"/>
      <c r="L272" s="190"/>
      <c r="M272" s="191"/>
      <c r="N272" s="172"/>
      <c r="O272" s="172"/>
      <c r="P272" s="172"/>
      <c r="Q272" s="172"/>
    </row>
    <row r="273" spans="6:17" s="170" customFormat="1" x14ac:dyDescent="0.2">
      <c r="F273" s="187"/>
      <c r="G273" s="187"/>
      <c r="H273" s="188"/>
      <c r="I273" s="189"/>
      <c r="J273" s="190"/>
      <c r="K273" s="190"/>
      <c r="L273" s="190"/>
      <c r="M273" s="191"/>
      <c r="N273" s="172"/>
      <c r="O273" s="172"/>
      <c r="P273" s="172"/>
      <c r="Q273" s="172"/>
    </row>
    <row r="274" spans="6:17" s="170" customFormat="1" x14ac:dyDescent="0.2">
      <c r="F274" s="187"/>
      <c r="G274" s="187"/>
      <c r="H274" s="188"/>
      <c r="I274" s="189"/>
      <c r="J274" s="190"/>
      <c r="K274" s="190"/>
      <c r="L274" s="190"/>
      <c r="M274" s="191"/>
      <c r="N274" s="172"/>
      <c r="O274" s="172"/>
      <c r="P274" s="172"/>
      <c r="Q274" s="172"/>
    </row>
    <row r="275" spans="6:17" s="170" customFormat="1" x14ac:dyDescent="0.2">
      <c r="F275" s="187"/>
      <c r="G275" s="187"/>
      <c r="H275" s="188"/>
      <c r="I275" s="189"/>
      <c r="J275" s="190"/>
      <c r="K275" s="190"/>
      <c r="L275" s="190"/>
      <c r="M275" s="191"/>
      <c r="N275" s="172"/>
      <c r="O275" s="172"/>
      <c r="P275" s="172"/>
      <c r="Q275" s="172"/>
    </row>
    <row r="276" spans="6:17" s="170" customFormat="1" x14ac:dyDescent="0.2">
      <c r="F276" s="187"/>
      <c r="G276" s="187"/>
      <c r="H276" s="188"/>
      <c r="I276" s="189"/>
      <c r="J276" s="190"/>
      <c r="K276" s="190"/>
      <c r="L276" s="190"/>
      <c r="M276" s="191"/>
      <c r="N276" s="172"/>
      <c r="O276" s="172"/>
      <c r="P276" s="172"/>
      <c r="Q276" s="172"/>
    </row>
    <row r="277" spans="6:17" s="170" customFormat="1" x14ac:dyDescent="0.2">
      <c r="F277" s="187"/>
      <c r="G277" s="187"/>
      <c r="H277" s="188"/>
      <c r="I277" s="189"/>
      <c r="J277" s="190"/>
      <c r="K277" s="190"/>
      <c r="L277" s="190"/>
      <c r="M277" s="191"/>
      <c r="N277" s="172"/>
      <c r="O277" s="172"/>
      <c r="P277" s="172"/>
      <c r="Q277" s="172"/>
    </row>
    <row r="278" spans="6:17" s="170" customFormat="1" x14ac:dyDescent="0.2">
      <c r="F278" s="187"/>
      <c r="G278" s="187"/>
      <c r="H278" s="188"/>
      <c r="I278" s="189"/>
      <c r="J278" s="190"/>
      <c r="K278" s="190"/>
      <c r="L278" s="190"/>
      <c r="M278" s="191"/>
      <c r="N278" s="172"/>
      <c r="O278" s="172"/>
      <c r="P278" s="172"/>
      <c r="Q278" s="172"/>
    </row>
    <row r="279" spans="6:17" s="170" customFormat="1" x14ac:dyDescent="0.2">
      <c r="F279" s="187"/>
      <c r="G279" s="187"/>
      <c r="H279" s="188"/>
      <c r="I279" s="189"/>
      <c r="J279" s="190"/>
      <c r="K279" s="190"/>
      <c r="L279" s="190"/>
      <c r="M279" s="191"/>
      <c r="N279" s="172"/>
      <c r="O279" s="172"/>
      <c r="P279" s="172"/>
      <c r="Q279" s="172"/>
    </row>
    <row r="280" spans="6:17" s="170" customFormat="1" x14ac:dyDescent="0.2">
      <c r="F280" s="187"/>
      <c r="G280" s="187"/>
      <c r="H280" s="188"/>
      <c r="I280" s="189"/>
      <c r="J280" s="190"/>
      <c r="K280" s="190"/>
      <c r="L280" s="190"/>
      <c r="M280" s="191"/>
      <c r="N280" s="172"/>
      <c r="O280" s="172"/>
      <c r="P280" s="172"/>
      <c r="Q280" s="172"/>
    </row>
    <row r="281" spans="6:17" s="170" customFormat="1" x14ac:dyDescent="0.2">
      <c r="F281" s="187"/>
      <c r="G281" s="187"/>
      <c r="H281" s="188"/>
      <c r="I281" s="189"/>
      <c r="J281" s="190"/>
      <c r="K281" s="190"/>
      <c r="L281" s="190"/>
      <c r="M281" s="191"/>
      <c r="N281" s="172"/>
      <c r="O281" s="172"/>
      <c r="P281" s="172"/>
      <c r="Q281" s="172"/>
    </row>
    <row r="282" spans="6:17" s="170" customFormat="1" x14ac:dyDescent="0.2">
      <c r="F282" s="187"/>
      <c r="G282" s="187"/>
      <c r="H282" s="188"/>
      <c r="I282" s="189"/>
      <c r="J282" s="190"/>
      <c r="K282" s="190"/>
      <c r="L282" s="190"/>
      <c r="M282" s="191"/>
      <c r="N282" s="172"/>
      <c r="O282" s="172"/>
      <c r="P282" s="172"/>
      <c r="Q282" s="172"/>
    </row>
    <row r="283" spans="6:17" s="170" customFormat="1" x14ac:dyDescent="0.2">
      <c r="F283" s="187"/>
      <c r="G283" s="187"/>
      <c r="H283" s="188"/>
      <c r="I283" s="189"/>
      <c r="J283" s="190"/>
      <c r="K283" s="190"/>
      <c r="L283" s="190"/>
      <c r="M283" s="191"/>
      <c r="N283" s="172"/>
      <c r="O283" s="172"/>
      <c r="P283" s="172"/>
      <c r="Q283" s="172"/>
    </row>
    <row r="284" spans="6:17" s="170" customFormat="1" x14ac:dyDescent="0.2">
      <c r="F284" s="187"/>
      <c r="G284" s="187"/>
      <c r="H284" s="188"/>
      <c r="I284" s="189"/>
      <c r="J284" s="190"/>
      <c r="K284" s="190"/>
      <c r="L284" s="190"/>
      <c r="M284" s="191"/>
      <c r="N284" s="172"/>
      <c r="O284" s="172"/>
      <c r="P284" s="172"/>
      <c r="Q284" s="172"/>
    </row>
    <row r="285" spans="6:17" s="170" customFormat="1" x14ac:dyDescent="0.2">
      <c r="F285" s="187"/>
      <c r="G285" s="187"/>
      <c r="H285" s="188"/>
      <c r="I285" s="189"/>
      <c r="J285" s="190"/>
      <c r="K285" s="190"/>
      <c r="L285" s="190"/>
      <c r="M285" s="191"/>
      <c r="N285" s="172"/>
      <c r="O285" s="172"/>
      <c r="P285" s="172"/>
      <c r="Q285" s="172"/>
    </row>
    <row r="286" spans="6:17" s="170" customFormat="1" x14ac:dyDescent="0.2">
      <c r="F286" s="187"/>
      <c r="G286" s="187"/>
      <c r="H286" s="188"/>
      <c r="I286" s="189"/>
      <c r="J286" s="190"/>
      <c r="K286" s="190"/>
      <c r="L286" s="190"/>
      <c r="M286" s="191"/>
      <c r="N286" s="172"/>
      <c r="O286" s="172"/>
      <c r="P286" s="172"/>
      <c r="Q286" s="172"/>
    </row>
    <row r="287" spans="6:17" s="170" customFormat="1" x14ac:dyDescent="0.2">
      <c r="F287" s="187"/>
      <c r="G287" s="187"/>
      <c r="H287" s="188"/>
      <c r="I287" s="189"/>
      <c r="J287" s="190"/>
      <c r="K287" s="190"/>
      <c r="L287" s="190"/>
      <c r="M287" s="191"/>
      <c r="N287" s="172"/>
      <c r="O287" s="172"/>
      <c r="P287" s="172"/>
      <c r="Q287" s="172"/>
    </row>
    <row r="288" spans="6:17" s="170" customFormat="1" x14ac:dyDescent="0.2">
      <c r="F288" s="187"/>
      <c r="G288" s="187"/>
      <c r="H288" s="188"/>
      <c r="I288" s="189"/>
      <c r="J288" s="190"/>
      <c r="K288" s="190"/>
      <c r="L288" s="190"/>
      <c r="M288" s="191"/>
      <c r="N288" s="172"/>
      <c r="O288" s="172"/>
      <c r="P288" s="172"/>
      <c r="Q288" s="172"/>
    </row>
    <row r="289" spans="6:17" s="170" customFormat="1" x14ac:dyDescent="0.2">
      <c r="F289" s="187"/>
      <c r="G289" s="187"/>
      <c r="H289" s="188"/>
      <c r="I289" s="189"/>
      <c r="J289" s="190"/>
      <c r="K289" s="190"/>
      <c r="L289" s="190"/>
      <c r="M289" s="191"/>
      <c r="N289" s="172"/>
      <c r="O289" s="172"/>
      <c r="P289" s="172"/>
      <c r="Q289" s="172"/>
    </row>
    <row r="290" spans="6:17" s="170" customFormat="1" x14ac:dyDescent="0.2">
      <c r="F290" s="187"/>
      <c r="G290" s="187"/>
      <c r="H290" s="188"/>
      <c r="I290" s="189"/>
      <c r="J290" s="190"/>
      <c r="K290" s="190"/>
      <c r="L290" s="190"/>
      <c r="M290" s="191"/>
      <c r="N290" s="172"/>
      <c r="O290" s="172"/>
      <c r="P290" s="172"/>
      <c r="Q290" s="172"/>
    </row>
    <row r="291" spans="6:17" s="170" customFormat="1" x14ac:dyDescent="0.2">
      <c r="F291" s="187"/>
      <c r="G291" s="187"/>
      <c r="H291" s="188"/>
      <c r="I291" s="189"/>
      <c r="J291" s="190"/>
      <c r="K291" s="190"/>
      <c r="L291" s="190"/>
      <c r="M291" s="191"/>
      <c r="N291" s="172"/>
      <c r="O291" s="172"/>
      <c r="P291" s="172"/>
      <c r="Q291" s="172"/>
    </row>
    <row r="292" spans="6:17" s="170" customFormat="1" x14ac:dyDescent="0.2">
      <c r="F292" s="187"/>
      <c r="G292" s="187"/>
      <c r="H292" s="188"/>
      <c r="I292" s="189"/>
      <c r="J292" s="190"/>
      <c r="K292" s="190"/>
      <c r="L292" s="190"/>
      <c r="M292" s="191"/>
      <c r="N292" s="172"/>
      <c r="O292" s="172"/>
      <c r="P292" s="172"/>
      <c r="Q292" s="172"/>
    </row>
    <row r="293" spans="6:17" s="170" customFormat="1" x14ac:dyDescent="0.2">
      <c r="F293" s="187"/>
      <c r="G293" s="187"/>
      <c r="H293" s="188"/>
      <c r="I293" s="189"/>
      <c r="J293" s="190"/>
      <c r="K293" s="190"/>
      <c r="L293" s="190"/>
      <c r="M293" s="191"/>
      <c r="N293" s="172"/>
      <c r="O293" s="172"/>
      <c r="P293" s="172"/>
      <c r="Q293" s="172"/>
    </row>
    <row r="294" spans="6:17" s="170" customFormat="1" x14ac:dyDescent="0.2">
      <c r="F294" s="187"/>
      <c r="G294" s="187"/>
      <c r="H294" s="188"/>
      <c r="I294" s="189"/>
      <c r="J294" s="190"/>
      <c r="K294" s="190"/>
      <c r="L294" s="190"/>
      <c r="M294" s="191"/>
      <c r="N294" s="172"/>
      <c r="O294" s="172"/>
      <c r="P294" s="172"/>
      <c r="Q294" s="172"/>
    </row>
    <row r="295" spans="6:17" s="170" customFormat="1" x14ac:dyDescent="0.2">
      <c r="F295" s="187"/>
      <c r="G295" s="187"/>
      <c r="H295" s="188"/>
      <c r="I295" s="189"/>
      <c r="J295" s="190"/>
      <c r="K295" s="190"/>
      <c r="L295" s="190"/>
      <c r="M295" s="191"/>
      <c r="N295" s="172"/>
      <c r="O295" s="172"/>
      <c r="P295" s="172"/>
      <c r="Q295" s="172"/>
    </row>
    <row r="296" spans="6:17" s="170" customFormat="1" x14ac:dyDescent="0.2">
      <c r="F296" s="187"/>
      <c r="G296" s="187"/>
      <c r="H296" s="188"/>
      <c r="I296" s="189"/>
      <c r="J296" s="190"/>
      <c r="K296" s="190"/>
      <c r="L296" s="190"/>
      <c r="M296" s="191"/>
      <c r="N296" s="172"/>
      <c r="O296" s="172"/>
      <c r="P296" s="172"/>
      <c r="Q296" s="172"/>
    </row>
    <row r="297" spans="6:17" s="170" customFormat="1" x14ac:dyDescent="0.2">
      <c r="F297" s="187"/>
      <c r="G297" s="187"/>
      <c r="H297" s="188"/>
      <c r="I297" s="189"/>
      <c r="J297" s="190"/>
      <c r="K297" s="190"/>
      <c r="L297" s="190"/>
      <c r="M297" s="191"/>
      <c r="N297" s="172"/>
      <c r="O297" s="172"/>
      <c r="P297" s="172"/>
      <c r="Q297" s="172"/>
    </row>
    <row r="298" spans="6:17" s="170" customFormat="1" x14ac:dyDescent="0.2">
      <c r="F298" s="187"/>
      <c r="G298" s="187"/>
      <c r="H298" s="188"/>
      <c r="I298" s="189"/>
      <c r="J298" s="190"/>
      <c r="K298" s="190"/>
      <c r="L298" s="190"/>
      <c r="M298" s="191"/>
      <c r="N298" s="172"/>
      <c r="O298" s="172"/>
      <c r="P298" s="172"/>
      <c r="Q298" s="172"/>
    </row>
    <row r="299" spans="6:17" s="170" customFormat="1" x14ac:dyDescent="0.2">
      <c r="F299" s="187"/>
      <c r="G299" s="187"/>
      <c r="H299" s="188"/>
      <c r="I299" s="189"/>
      <c r="J299" s="190"/>
      <c r="K299" s="190"/>
      <c r="L299" s="190"/>
      <c r="M299" s="191"/>
      <c r="N299" s="172"/>
      <c r="O299" s="172"/>
      <c r="P299" s="172"/>
      <c r="Q299" s="172"/>
    </row>
    <row r="300" spans="6:17" s="170" customFormat="1" x14ac:dyDescent="0.2">
      <c r="F300" s="187"/>
      <c r="G300" s="187"/>
      <c r="H300" s="188"/>
      <c r="I300" s="189"/>
      <c r="J300" s="190"/>
      <c r="K300" s="190"/>
      <c r="L300" s="190"/>
      <c r="M300" s="191"/>
      <c r="N300" s="172"/>
      <c r="O300" s="172"/>
      <c r="P300" s="172"/>
      <c r="Q300" s="172"/>
    </row>
    <row r="301" spans="6:17" s="170" customFormat="1" x14ac:dyDescent="0.2">
      <c r="F301" s="187"/>
      <c r="G301" s="187"/>
      <c r="H301" s="188"/>
      <c r="I301" s="189"/>
      <c r="J301" s="190"/>
      <c r="K301" s="190"/>
      <c r="L301" s="190"/>
      <c r="M301" s="191"/>
      <c r="N301" s="172"/>
      <c r="O301" s="172"/>
      <c r="P301" s="172"/>
      <c r="Q301" s="172"/>
    </row>
    <row r="302" spans="6:17" s="170" customFormat="1" x14ac:dyDescent="0.2">
      <c r="F302" s="187"/>
      <c r="G302" s="187"/>
      <c r="H302" s="188"/>
      <c r="I302" s="189"/>
      <c r="J302" s="190"/>
      <c r="K302" s="190"/>
      <c r="L302" s="190"/>
      <c r="M302" s="191"/>
      <c r="N302" s="172"/>
      <c r="O302" s="172"/>
      <c r="P302" s="172"/>
      <c r="Q302" s="172"/>
    </row>
    <row r="303" spans="6:17" s="170" customFormat="1" x14ac:dyDescent="0.2">
      <c r="F303" s="187"/>
      <c r="G303" s="187"/>
      <c r="H303" s="188"/>
      <c r="I303" s="189"/>
      <c r="J303" s="190"/>
      <c r="K303" s="190"/>
      <c r="L303" s="190"/>
      <c r="M303" s="191"/>
      <c r="N303" s="172"/>
      <c r="O303" s="172"/>
      <c r="P303" s="172"/>
      <c r="Q303" s="172"/>
    </row>
    <row r="304" spans="6:17" s="170" customFormat="1" x14ac:dyDescent="0.2">
      <c r="F304" s="187"/>
      <c r="G304" s="187"/>
      <c r="H304" s="188"/>
      <c r="I304" s="189"/>
      <c r="J304" s="190"/>
      <c r="K304" s="190"/>
      <c r="L304" s="190"/>
      <c r="M304" s="191"/>
      <c r="N304" s="172"/>
      <c r="O304" s="172"/>
      <c r="P304" s="172"/>
      <c r="Q304" s="172"/>
    </row>
    <row r="305" spans="6:17" s="170" customFormat="1" x14ac:dyDescent="0.2">
      <c r="F305" s="187"/>
      <c r="G305" s="187"/>
      <c r="H305" s="188"/>
      <c r="I305" s="189"/>
      <c r="J305" s="190"/>
      <c r="K305" s="190"/>
      <c r="L305" s="190"/>
      <c r="M305" s="191"/>
      <c r="N305" s="172"/>
      <c r="O305" s="172"/>
      <c r="P305" s="172"/>
      <c r="Q305" s="172"/>
    </row>
    <row r="306" spans="6:17" s="170" customFormat="1" x14ac:dyDescent="0.2">
      <c r="F306" s="187"/>
      <c r="G306" s="187"/>
      <c r="H306" s="188"/>
      <c r="I306" s="189"/>
      <c r="J306" s="190"/>
      <c r="K306" s="190"/>
      <c r="L306" s="190"/>
      <c r="M306" s="191"/>
      <c r="N306" s="172"/>
      <c r="O306" s="172"/>
      <c r="P306" s="172"/>
      <c r="Q306" s="172"/>
    </row>
    <row r="307" spans="6:17" s="170" customFormat="1" x14ac:dyDescent="0.2">
      <c r="F307" s="187"/>
      <c r="G307" s="187"/>
      <c r="H307" s="188"/>
      <c r="I307" s="189"/>
      <c r="J307" s="190"/>
      <c r="K307" s="190"/>
      <c r="L307" s="190"/>
      <c r="M307" s="191"/>
      <c r="N307" s="172"/>
      <c r="O307" s="172"/>
      <c r="P307" s="172"/>
      <c r="Q307" s="172"/>
    </row>
    <row r="308" spans="6:17" s="170" customFormat="1" x14ac:dyDescent="0.2">
      <c r="F308" s="187"/>
      <c r="G308" s="187"/>
      <c r="H308" s="188"/>
      <c r="I308" s="189"/>
      <c r="J308" s="190"/>
      <c r="K308" s="190"/>
      <c r="L308" s="190"/>
      <c r="M308" s="191"/>
      <c r="N308" s="172"/>
      <c r="O308" s="172"/>
      <c r="P308" s="172"/>
      <c r="Q308" s="172"/>
    </row>
    <row r="309" spans="6:17" s="170" customFormat="1" x14ac:dyDescent="0.2">
      <c r="F309" s="187"/>
      <c r="G309" s="187"/>
      <c r="H309" s="188"/>
      <c r="I309" s="189"/>
      <c r="J309" s="190"/>
      <c r="K309" s="190"/>
      <c r="L309" s="190"/>
      <c r="M309" s="191"/>
      <c r="N309" s="172"/>
      <c r="O309" s="172"/>
      <c r="P309" s="172"/>
      <c r="Q309" s="172"/>
    </row>
    <row r="310" spans="6:17" s="170" customFormat="1" x14ac:dyDescent="0.2">
      <c r="F310" s="187"/>
      <c r="G310" s="187"/>
      <c r="H310" s="188"/>
      <c r="I310" s="189"/>
      <c r="J310" s="190"/>
      <c r="K310" s="190"/>
      <c r="L310" s="190"/>
      <c r="M310" s="191"/>
      <c r="N310" s="172"/>
      <c r="O310" s="172"/>
      <c r="P310" s="172"/>
      <c r="Q310" s="172"/>
    </row>
    <row r="311" spans="6:17" s="170" customFormat="1" x14ac:dyDescent="0.2">
      <c r="F311" s="187"/>
      <c r="G311" s="187"/>
      <c r="H311" s="188"/>
      <c r="I311" s="189"/>
      <c r="J311" s="190"/>
      <c r="K311" s="190"/>
      <c r="L311" s="190"/>
      <c r="M311" s="191"/>
      <c r="N311" s="172"/>
      <c r="O311" s="172"/>
      <c r="P311" s="172"/>
      <c r="Q311" s="172"/>
    </row>
    <row r="312" spans="6:17" s="170" customFormat="1" x14ac:dyDescent="0.2">
      <c r="F312" s="187"/>
      <c r="G312" s="187"/>
      <c r="H312" s="188"/>
      <c r="I312" s="189"/>
      <c r="J312" s="190"/>
      <c r="K312" s="190"/>
      <c r="L312" s="190"/>
      <c r="M312" s="191"/>
      <c r="N312" s="172"/>
      <c r="O312" s="172"/>
      <c r="P312" s="172"/>
      <c r="Q312" s="172"/>
    </row>
    <row r="313" spans="6:17" s="170" customFormat="1" x14ac:dyDescent="0.2">
      <c r="F313" s="187"/>
      <c r="G313" s="187"/>
      <c r="H313" s="188"/>
      <c r="I313" s="189"/>
      <c r="J313" s="190"/>
      <c r="K313" s="190"/>
      <c r="L313" s="190"/>
      <c r="M313" s="191"/>
      <c r="N313" s="172"/>
      <c r="O313" s="172"/>
      <c r="P313" s="172"/>
      <c r="Q313" s="172"/>
    </row>
    <row r="314" spans="6:17" s="170" customFormat="1" x14ac:dyDescent="0.2">
      <c r="F314" s="187"/>
      <c r="G314" s="187"/>
      <c r="H314" s="188"/>
      <c r="I314" s="189"/>
      <c r="J314" s="190"/>
      <c r="K314" s="190"/>
      <c r="L314" s="190"/>
      <c r="M314" s="191"/>
      <c r="N314" s="172"/>
      <c r="O314" s="172"/>
      <c r="P314" s="172"/>
      <c r="Q314" s="172"/>
    </row>
    <row r="315" spans="6:17" s="170" customFormat="1" x14ac:dyDescent="0.2">
      <c r="F315" s="187"/>
      <c r="G315" s="187"/>
      <c r="H315" s="188"/>
      <c r="I315" s="189"/>
      <c r="J315" s="190"/>
      <c r="K315" s="190"/>
      <c r="L315" s="190"/>
      <c r="M315" s="191"/>
      <c r="N315" s="172"/>
      <c r="O315" s="172"/>
      <c r="P315" s="172"/>
      <c r="Q315" s="172"/>
    </row>
    <row r="316" spans="6:17" s="170" customFormat="1" x14ac:dyDescent="0.2">
      <c r="F316" s="187"/>
      <c r="G316" s="187"/>
      <c r="H316" s="188"/>
      <c r="I316" s="189"/>
      <c r="J316" s="190"/>
      <c r="K316" s="190"/>
      <c r="L316" s="190"/>
      <c r="M316" s="191"/>
      <c r="N316" s="172"/>
      <c r="O316" s="172"/>
      <c r="P316" s="172"/>
      <c r="Q316" s="172"/>
    </row>
    <row r="317" spans="6:17" s="170" customFormat="1" x14ac:dyDescent="0.2">
      <c r="F317" s="187"/>
      <c r="G317" s="187"/>
      <c r="H317" s="188"/>
      <c r="I317" s="189"/>
      <c r="J317" s="190"/>
      <c r="K317" s="190"/>
      <c r="L317" s="190"/>
      <c r="M317" s="191"/>
      <c r="N317" s="172"/>
      <c r="O317" s="172"/>
      <c r="P317" s="172"/>
      <c r="Q317" s="172"/>
    </row>
    <row r="318" spans="6:17" s="170" customFormat="1" x14ac:dyDescent="0.2">
      <c r="F318" s="187"/>
      <c r="G318" s="187"/>
      <c r="H318" s="188"/>
      <c r="I318" s="189"/>
      <c r="J318" s="190"/>
      <c r="K318" s="190"/>
      <c r="L318" s="190"/>
      <c r="M318" s="191"/>
      <c r="N318" s="172"/>
      <c r="O318" s="172"/>
      <c r="P318" s="172"/>
      <c r="Q318" s="172"/>
    </row>
    <row r="319" spans="6:17" s="170" customFormat="1" x14ac:dyDescent="0.2">
      <c r="F319" s="187"/>
      <c r="G319" s="187"/>
      <c r="H319" s="188"/>
      <c r="I319" s="189"/>
      <c r="J319" s="190"/>
      <c r="K319" s="190"/>
      <c r="L319" s="190"/>
      <c r="M319" s="191"/>
      <c r="N319" s="172"/>
      <c r="O319" s="172"/>
      <c r="P319" s="172"/>
      <c r="Q319" s="172"/>
    </row>
    <row r="320" spans="6:17" s="170" customFormat="1" x14ac:dyDescent="0.2">
      <c r="F320" s="187"/>
      <c r="G320" s="187"/>
      <c r="H320" s="188"/>
      <c r="I320" s="189"/>
      <c r="J320" s="190"/>
      <c r="K320" s="190"/>
      <c r="L320" s="190"/>
      <c r="M320" s="191"/>
      <c r="N320" s="172"/>
      <c r="O320" s="172"/>
      <c r="P320" s="172"/>
      <c r="Q320" s="172"/>
    </row>
    <row r="321" spans="6:17" s="170" customFormat="1" x14ac:dyDescent="0.2">
      <c r="F321" s="187"/>
      <c r="G321" s="187"/>
      <c r="H321" s="188"/>
      <c r="I321" s="189"/>
      <c r="J321" s="190"/>
      <c r="K321" s="190"/>
      <c r="L321" s="190"/>
      <c r="M321" s="191"/>
      <c r="N321" s="172"/>
      <c r="O321" s="172"/>
      <c r="P321" s="172"/>
      <c r="Q321" s="172"/>
    </row>
    <row r="322" spans="6:17" s="170" customFormat="1" x14ac:dyDescent="0.2">
      <c r="F322" s="187"/>
      <c r="G322" s="187"/>
      <c r="H322" s="188"/>
      <c r="I322" s="189"/>
      <c r="J322" s="190"/>
      <c r="K322" s="190"/>
      <c r="L322" s="190"/>
      <c r="M322" s="191"/>
      <c r="N322" s="172"/>
      <c r="O322" s="172"/>
      <c r="P322" s="172"/>
      <c r="Q322" s="172"/>
    </row>
    <row r="323" spans="6:17" s="170" customFormat="1" x14ac:dyDescent="0.2">
      <c r="F323" s="187"/>
      <c r="G323" s="187"/>
      <c r="H323" s="188"/>
      <c r="I323" s="189"/>
      <c r="J323" s="190"/>
      <c r="K323" s="190"/>
      <c r="L323" s="190"/>
      <c r="M323" s="191"/>
      <c r="N323" s="172"/>
      <c r="O323" s="172"/>
      <c r="P323" s="172"/>
      <c r="Q323" s="172"/>
    </row>
    <row r="324" spans="6:17" s="170" customFormat="1" x14ac:dyDescent="0.2">
      <c r="F324" s="187"/>
      <c r="G324" s="187"/>
      <c r="H324" s="188"/>
      <c r="I324" s="189"/>
      <c r="J324" s="190"/>
      <c r="K324" s="190"/>
      <c r="L324" s="190"/>
      <c r="M324" s="191"/>
      <c r="N324" s="172"/>
      <c r="O324" s="172"/>
      <c r="P324" s="172"/>
      <c r="Q324" s="172"/>
    </row>
    <row r="325" spans="6:17" s="170" customFormat="1" x14ac:dyDescent="0.2">
      <c r="F325" s="187"/>
      <c r="G325" s="187"/>
      <c r="H325" s="188"/>
      <c r="I325" s="189"/>
      <c r="J325" s="190"/>
      <c r="K325" s="190"/>
      <c r="L325" s="190"/>
      <c r="M325" s="191"/>
      <c r="N325" s="172"/>
      <c r="O325" s="172"/>
      <c r="P325" s="172"/>
      <c r="Q325" s="172"/>
    </row>
    <row r="326" spans="6:17" s="170" customFormat="1" x14ac:dyDescent="0.2">
      <c r="F326" s="187"/>
      <c r="G326" s="187"/>
      <c r="H326" s="188"/>
      <c r="I326" s="189"/>
      <c r="J326" s="190"/>
      <c r="K326" s="190"/>
      <c r="L326" s="190"/>
      <c r="M326" s="191"/>
      <c r="N326" s="172"/>
      <c r="O326" s="172"/>
      <c r="P326" s="172"/>
      <c r="Q326" s="172"/>
    </row>
    <row r="327" spans="6:17" s="170" customFormat="1" x14ac:dyDescent="0.2">
      <c r="F327" s="187"/>
      <c r="G327" s="187"/>
      <c r="H327" s="188"/>
      <c r="I327" s="189"/>
      <c r="J327" s="190"/>
      <c r="K327" s="190"/>
      <c r="L327" s="190"/>
      <c r="M327" s="191"/>
      <c r="N327" s="172"/>
      <c r="O327" s="172"/>
      <c r="P327" s="172"/>
      <c r="Q327" s="172"/>
    </row>
    <row r="328" spans="6:17" s="170" customFormat="1" x14ac:dyDescent="0.2">
      <c r="F328" s="187"/>
      <c r="G328" s="187"/>
      <c r="H328" s="188"/>
      <c r="I328" s="189"/>
      <c r="J328" s="190"/>
      <c r="K328" s="190"/>
      <c r="L328" s="190"/>
      <c r="M328" s="191"/>
      <c r="N328" s="172"/>
      <c r="O328" s="172"/>
      <c r="P328" s="172"/>
      <c r="Q328" s="172"/>
    </row>
    <row r="329" spans="6:17" s="170" customFormat="1" x14ac:dyDescent="0.2">
      <c r="F329" s="187"/>
      <c r="G329" s="187"/>
      <c r="H329" s="188"/>
      <c r="I329" s="189"/>
      <c r="J329" s="190"/>
      <c r="K329" s="190"/>
      <c r="L329" s="190"/>
      <c r="M329" s="191"/>
      <c r="N329" s="172"/>
      <c r="O329" s="172"/>
      <c r="P329" s="172"/>
      <c r="Q329" s="172"/>
    </row>
    <row r="330" spans="6:17" s="170" customFormat="1" x14ac:dyDescent="0.2">
      <c r="F330" s="187"/>
      <c r="G330" s="187"/>
      <c r="H330" s="188"/>
      <c r="I330" s="189"/>
      <c r="J330" s="190"/>
      <c r="K330" s="190"/>
      <c r="L330" s="190"/>
      <c r="M330" s="191"/>
      <c r="N330" s="172"/>
      <c r="O330" s="172"/>
      <c r="P330" s="172"/>
      <c r="Q330" s="172"/>
    </row>
    <row r="331" spans="6:17" s="170" customFormat="1" x14ac:dyDescent="0.2">
      <c r="F331" s="187"/>
      <c r="G331" s="187"/>
      <c r="H331" s="188"/>
      <c r="I331" s="189"/>
      <c r="J331" s="190"/>
      <c r="K331" s="190"/>
      <c r="L331" s="190"/>
      <c r="M331" s="191"/>
      <c r="N331" s="172"/>
      <c r="O331" s="172"/>
      <c r="P331" s="172"/>
      <c r="Q331" s="172"/>
    </row>
    <row r="332" spans="6:17" s="170" customFormat="1" x14ac:dyDescent="0.2">
      <c r="F332" s="187"/>
      <c r="G332" s="187"/>
      <c r="H332" s="188"/>
      <c r="I332" s="189"/>
      <c r="J332" s="190"/>
      <c r="K332" s="190"/>
      <c r="L332" s="190"/>
      <c r="M332" s="191"/>
      <c r="N332" s="172"/>
      <c r="O332" s="172"/>
      <c r="P332" s="172"/>
      <c r="Q332" s="172"/>
    </row>
    <row r="333" spans="6:17" s="170" customFormat="1" x14ac:dyDescent="0.2">
      <c r="F333" s="187"/>
      <c r="G333" s="187"/>
      <c r="H333" s="188"/>
      <c r="I333" s="189"/>
      <c r="J333" s="190"/>
      <c r="K333" s="190"/>
      <c r="L333" s="190"/>
      <c r="M333" s="191"/>
      <c r="N333" s="172"/>
      <c r="O333" s="172"/>
      <c r="P333" s="172"/>
      <c r="Q333" s="172"/>
    </row>
    <row r="334" spans="6:17" s="170" customFormat="1" x14ac:dyDescent="0.2">
      <c r="F334" s="187"/>
      <c r="G334" s="187"/>
      <c r="H334" s="188"/>
      <c r="I334" s="189"/>
      <c r="J334" s="190"/>
      <c r="K334" s="190"/>
      <c r="L334" s="190"/>
      <c r="M334" s="191"/>
      <c r="N334" s="172"/>
      <c r="O334" s="172"/>
      <c r="P334" s="172"/>
      <c r="Q334" s="172"/>
    </row>
    <row r="335" spans="6:17" s="170" customFormat="1" x14ac:dyDescent="0.2">
      <c r="F335" s="187"/>
      <c r="G335" s="187"/>
      <c r="H335" s="188"/>
      <c r="I335" s="189"/>
      <c r="J335" s="190"/>
      <c r="K335" s="190"/>
      <c r="L335" s="190"/>
      <c r="M335" s="191"/>
      <c r="N335" s="172"/>
      <c r="O335" s="172"/>
      <c r="P335" s="172"/>
      <c r="Q335" s="172"/>
    </row>
    <row r="336" spans="6:17" s="170" customFormat="1" x14ac:dyDescent="0.2">
      <c r="F336" s="187"/>
      <c r="G336" s="187"/>
      <c r="H336" s="188"/>
      <c r="I336" s="189"/>
      <c r="J336" s="190"/>
      <c r="K336" s="190"/>
      <c r="L336" s="190"/>
      <c r="M336" s="191"/>
      <c r="N336" s="172"/>
      <c r="O336" s="172"/>
      <c r="P336" s="172"/>
      <c r="Q336" s="172"/>
    </row>
    <row r="337" spans="6:17" s="170" customFormat="1" x14ac:dyDescent="0.2">
      <c r="F337" s="187"/>
      <c r="G337" s="187"/>
      <c r="H337" s="188"/>
      <c r="I337" s="189"/>
      <c r="J337" s="190"/>
      <c r="K337" s="190"/>
      <c r="L337" s="190"/>
      <c r="M337" s="191"/>
      <c r="N337" s="172"/>
      <c r="O337" s="172"/>
      <c r="P337" s="172"/>
      <c r="Q337" s="172"/>
    </row>
    <row r="338" spans="6:17" s="170" customFormat="1" x14ac:dyDescent="0.2">
      <c r="F338" s="187"/>
      <c r="G338" s="187"/>
      <c r="H338" s="188"/>
      <c r="I338" s="189"/>
      <c r="J338" s="190"/>
      <c r="K338" s="190"/>
      <c r="L338" s="190"/>
      <c r="M338" s="191"/>
      <c r="N338" s="172"/>
      <c r="O338" s="172"/>
      <c r="P338" s="172"/>
      <c r="Q338" s="172"/>
    </row>
    <row r="339" spans="6:17" s="170" customFormat="1" x14ac:dyDescent="0.2">
      <c r="F339" s="187"/>
      <c r="G339" s="187"/>
      <c r="H339" s="188"/>
      <c r="I339" s="189"/>
      <c r="J339" s="190"/>
      <c r="K339" s="190"/>
      <c r="L339" s="190"/>
      <c r="M339" s="191"/>
      <c r="N339" s="172"/>
      <c r="O339" s="172"/>
      <c r="P339" s="172"/>
      <c r="Q339" s="172"/>
    </row>
    <row r="340" spans="6:17" s="170" customFormat="1" x14ac:dyDescent="0.2">
      <c r="F340" s="187"/>
      <c r="G340" s="187"/>
      <c r="H340" s="188"/>
      <c r="I340" s="189"/>
      <c r="J340" s="190"/>
      <c r="K340" s="190"/>
      <c r="L340" s="190"/>
      <c r="M340" s="191"/>
      <c r="N340" s="172"/>
      <c r="O340" s="172"/>
      <c r="P340" s="172"/>
      <c r="Q340" s="172"/>
    </row>
    <row r="341" spans="6:17" s="170" customFormat="1" x14ac:dyDescent="0.2">
      <c r="F341" s="187"/>
      <c r="G341" s="187"/>
      <c r="H341" s="188"/>
      <c r="I341" s="189"/>
      <c r="J341" s="190"/>
      <c r="K341" s="190"/>
      <c r="L341" s="190"/>
      <c r="M341" s="191"/>
      <c r="N341" s="172"/>
      <c r="O341" s="172"/>
      <c r="P341" s="172"/>
      <c r="Q341" s="172"/>
    </row>
    <row r="342" spans="6:17" s="170" customFormat="1" x14ac:dyDescent="0.2">
      <c r="F342" s="187"/>
      <c r="G342" s="187"/>
      <c r="H342" s="188"/>
      <c r="I342" s="189"/>
      <c r="J342" s="190"/>
      <c r="K342" s="190"/>
      <c r="L342" s="190"/>
      <c r="M342" s="191"/>
      <c r="N342" s="172"/>
      <c r="O342" s="172"/>
      <c r="P342" s="172"/>
      <c r="Q342" s="172"/>
    </row>
    <row r="343" spans="6:17" s="170" customFormat="1" x14ac:dyDescent="0.2">
      <c r="F343" s="187"/>
      <c r="G343" s="187"/>
      <c r="H343" s="188"/>
      <c r="I343" s="189"/>
      <c r="J343" s="190"/>
      <c r="K343" s="190"/>
      <c r="L343" s="190"/>
      <c r="M343" s="191"/>
      <c r="N343" s="172"/>
      <c r="O343" s="172"/>
      <c r="P343" s="172"/>
      <c r="Q343" s="172"/>
    </row>
    <row r="344" spans="6:17" s="170" customFormat="1" x14ac:dyDescent="0.2">
      <c r="F344" s="187"/>
      <c r="G344" s="187"/>
      <c r="H344" s="188"/>
      <c r="I344" s="189"/>
      <c r="J344" s="190"/>
      <c r="K344" s="190"/>
      <c r="L344" s="190"/>
      <c r="M344" s="191"/>
      <c r="N344" s="172"/>
      <c r="O344" s="172"/>
      <c r="P344" s="172"/>
      <c r="Q344" s="172"/>
    </row>
    <row r="345" spans="6:17" s="170" customFormat="1" x14ac:dyDescent="0.2">
      <c r="F345" s="187"/>
      <c r="G345" s="187"/>
      <c r="H345" s="188"/>
      <c r="I345" s="189"/>
      <c r="J345" s="190"/>
      <c r="K345" s="190"/>
      <c r="L345" s="190"/>
      <c r="M345" s="191"/>
      <c r="N345" s="172"/>
      <c r="O345" s="172"/>
      <c r="P345" s="172"/>
      <c r="Q345" s="172"/>
    </row>
    <row r="346" spans="6:17" s="170" customFormat="1" x14ac:dyDescent="0.2">
      <c r="F346" s="187"/>
      <c r="G346" s="187"/>
      <c r="H346" s="188"/>
      <c r="I346" s="189"/>
      <c r="J346" s="190"/>
      <c r="K346" s="190"/>
      <c r="L346" s="190"/>
      <c r="M346" s="191"/>
      <c r="N346" s="172"/>
      <c r="O346" s="172"/>
      <c r="P346" s="172"/>
      <c r="Q346" s="172"/>
    </row>
    <row r="347" spans="6:17" s="170" customFormat="1" x14ac:dyDescent="0.2">
      <c r="F347" s="187"/>
      <c r="G347" s="187"/>
      <c r="H347" s="188"/>
      <c r="I347" s="189"/>
      <c r="J347" s="190"/>
      <c r="K347" s="190"/>
      <c r="L347" s="190"/>
      <c r="M347" s="191"/>
      <c r="N347" s="172"/>
      <c r="O347" s="172"/>
      <c r="P347" s="172"/>
      <c r="Q347" s="172"/>
    </row>
    <row r="348" spans="6:17" s="170" customFormat="1" x14ac:dyDescent="0.2">
      <c r="F348" s="187"/>
      <c r="G348" s="187"/>
      <c r="H348" s="188"/>
      <c r="I348" s="189"/>
      <c r="J348" s="190"/>
      <c r="K348" s="190"/>
      <c r="L348" s="190"/>
      <c r="M348" s="191"/>
      <c r="N348" s="172"/>
      <c r="O348" s="172"/>
      <c r="P348" s="172"/>
      <c r="Q348" s="172"/>
    </row>
    <row r="349" spans="6:17" s="170" customFormat="1" x14ac:dyDescent="0.2">
      <c r="F349" s="187"/>
      <c r="G349" s="187"/>
      <c r="H349" s="188"/>
      <c r="I349" s="189"/>
      <c r="J349" s="190"/>
      <c r="K349" s="190"/>
      <c r="L349" s="190"/>
      <c r="M349" s="191"/>
      <c r="N349" s="172"/>
      <c r="O349" s="172"/>
      <c r="P349" s="172"/>
      <c r="Q349" s="172"/>
    </row>
    <row r="350" spans="6:17" s="170" customFormat="1" x14ac:dyDescent="0.2">
      <c r="F350" s="187"/>
      <c r="G350" s="187"/>
      <c r="H350" s="188"/>
      <c r="I350" s="189"/>
      <c r="J350" s="190"/>
      <c r="K350" s="190"/>
      <c r="L350" s="190"/>
      <c r="M350" s="191"/>
      <c r="N350" s="172"/>
      <c r="O350" s="172"/>
      <c r="P350" s="172"/>
      <c r="Q350" s="172"/>
    </row>
    <row r="351" spans="6:17" s="170" customFormat="1" x14ac:dyDescent="0.2">
      <c r="F351" s="187"/>
      <c r="G351" s="187"/>
      <c r="H351" s="188"/>
      <c r="I351" s="189"/>
      <c r="J351" s="190"/>
      <c r="K351" s="190"/>
      <c r="L351" s="190"/>
      <c r="M351" s="191"/>
      <c r="N351" s="172"/>
      <c r="O351" s="172"/>
      <c r="P351" s="172"/>
      <c r="Q351" s="172"/>
    </row>
    <row r="352" spans="6:17" s="170" customFormat="1" x14ac:dyDescent="0.2">
      <c r="F352" s="187"/>
      <c r="G352" s="187"/>
      <c r="H352" s="188"/>
      <c r="I352" s="189"/>
      <c r="J352" s="190"/>
      <c r="K352" s="190"/>
      <c r="L352" s="190"/>
      <c r="M352" s="191"/>
      <c r="N352" s="172"/>
      <c r="O352" s="172"/>
      <c r="P352" s="172"/>
      <c r="Q352" s="172"/>
    </row>
    <row r="353" spans="6:17" s="170" customFormat="1" x14ac:dyDescent="0.2">
      <c r="F353" s="187"/>
      <c r="G353" s="187"/>
      <c r="H353" s="188"/>
      <c r="I353" s="189"/>
      <c r="J353" s="190"/>
      <c r="K353" s="190"/>
      <c r="L353" s="190"/>
      <c r="M353" s="191"/>
      <c r="N353" s="172"/>
      <c r="O353" s="172"/>
      <c r="P353" s="172"/>
      <c r="Q353" s="172"/>
    </row>
    <row r="354" spans="6:17" s="170" customFormat="1" x14ac:dyDescent="0.2">
      <c r="F354" s="187"/>
      <c r="G354" s="187"/>
      <c r="H354" s="188"/>
      <c r="I354" s="189"/>
      <c r="J354" s="190"/>
      <c r="K354" s="190"/>
      <c r="L354" s="190"/>
      <c r="M354" s="191"/>
      <c r="N354" s="172"/>
      <c r="O354" s="172"/>
      <c r="P354" s="172"/>
      <c r="Q354" s="172"/>
    </row>
    <row r="355" spans="6:17" s="170" customFormat="1" x14ac:dyDescent="0.2">
      <c r="F355" s="187"/>
      <c r="G355" s="187"/>
      <c r="H355" s="188"/>
      <c r="I355" s="189"/>
      <c r="J355" s="190"/>
      <c r="K355" s="190"/>
      <c r="L355" s="190"/>
      <c r="M355" s="191"/>
      <c r="N355" s="172"/>
      <c r="O355" s="172"/>
      <c r="P355" s="172"/>
      <c r="Q355" s="172"/>
    </row>
    <row r="356" spans="6:17" s="170" customFormat="1" x14ac:dyDescent="0.2">
      <c r="F356" s="187"/>
      <c r="G356" s="187"/>
      <c r="H356" s="188"/>
      <c r="I356" s="189"/>
      <c r="J356" s="190"/>
      <c r="K356" s="190"/>
      <c r="L356" s="190"/>
      <c r="M356" s="191"/>
      <c r="N356" s="172"/>
      <c r="O356" s="172"/>
      <c r="P356" s="172"/>
      <c r="Q356" s="172"/>
    </row>
    <row r="357" spans="6:17" s="170" customFormat="1" x14ac:dyDescent="0.2">
      <c r="F357" s="187"/>
      <c r="G357" s="187"/>
      <c r="H357" s="188"/>
      <c r="I357" s="189"/>
      <c r="J357" s="190"/>
      <c r="K357" s="190"/>
      <c r="L357" s="190"/>
      <c r="M357" s="191"/>
      <c r="N357" s="172"/>
      <c r="O357" s="172"/>
      <c r="P357" s="172"/>
      <c r="Q357" s="172"/>
    </row>
    <row r="358" spans="6:17" s="170" customFormat="1" x14ac:dyDescent="0.2">
      <c r="F358" s="187"/>
      <c r="G358" s="187"/>
      <c r="H358" s="188"/>
      <c r="I358" s="189"/>
      <c r="J358" s="190"/>
      <c r="K358" s="190"/>
      <c r="L358" s="190"/>
      <c r="M358" s="191"/>
      <c r="N358" s="172"/>
      <c r="O358" s="172"/>
      <c r="P358" s="172"/>
      <c r="Q358" s="172"/>
    </row>
    <row r="359" spans="6:17" s="170" customFormat="1" x14ac:dyDescent="0.2">
      <c r="F359" s="187"/>
      <c r="G359" s="187"/>
      <c r="H359" s="188"/>
      <c r="I359" s="189"/>
      <c r="J359" s="190"/>
      <c r="K359" s="190"/>
      <c r="L359" s="190"/>
      <c r="M359" s="191"/>
      <c r="N359" s="172"/>
      <c r="O359" s="172"/>
      <c r="P359" s="172"/>
      <c r="Q359" s="172"/>
    </row>
    <row r="360" spans="6:17" s="170" customFormat="1" x14ac:dyDescent="0.2">
      <c r="F360" s="187"/>
      <c r="G360" s="187"/>
      <c r="H360" s="188"/>
      <c r="I360" s="189"/>
      <c r="J360" s="190"/>
      <c r="K360" s="190"/>
      <c r="L360" s="190"/>
      <c r="M360" s="191"/>
      <c r="N360" s="172"/>
      <c r="O360" s="172"/>
      <c r="P360" s="172"/>
      <c r="Q360" s="172"/>
    </row>
    <row r="361" spans="6:17" s="170" customFormat="1" x14ac:dyDescent="0.2">
      <c r="F361" s="187"/>
      <c r="G361" s="187"/>
      <c r="H361" s="188"/>
      <c r="I361" s="189"/>
      <c r="J361" s="190"/>
      <c r="K361" s="190"/>
      <c r="L361" s="190"/>
      <c r="M361" s="191"/>
      <c r="N361" s="172"/>
      <c r="O361" s="172"/>
      <c r="P361" s="172"/>
      <c r="Q361" s="172"/>
    </row>
    <row r="362" spans="6:17" s="170" customFormat="1" x14ac:dyDescent="0.2">
      <c r="F362" s="187"/>
      <c r="G362" s="187"/>
      <c r="H362" s="188"/>
      <c r="I362" s="189"/>
      <c r="J362" s="190"/>
      <c r="K362" s="190"/>
      <c r="L362" s="190"/>
      <c r="M362" s="191"/>
      <c r="N362" s="172"/>
      <c r="O362" s="172"/>
      <c r="P362" s="172"/>
      <c r="Q362" s="172"/>
    </row>
    <row r="363" spans="6:17" s="170" customFormat="1" x14ac:dyDescent="0.2">
      <c r="F363" s="187"/>
      <c r="G363" s="187"/>
      <c r="H363" s="188"/>
      <c r="I363" s="189"/>
      <c r="J363" s="190"/>
      <c r="K363" s="190"/>
      <c r="L363" s="190"/>
      <c r="M363" s="191"/>
      <c r="N363" s="172"/>
      <c r="O363" s="172"/>
      <c r="P363" s="172"/>
      <c r="Q363" s="172"/>
    </row>
    <row r="364" spans="6:17" s="170" customFormat="1" x14ac:dyDescent="0.2">
      <c r="F364" s="187"/>
      <c r="G364" s="187"/>
      <c r="H364" s="188"/>
      <c r="I364" s="189"/>
      <c r="J364" s="190"/>
      <c r="K364" s="190"/>
      <c r="L364" s="190"/>
      <c r="M364" s="191"/>
      <c r="N364" s="172"/>
      <c r="O364" s="172"/>
      <c r="P364" s="172"/>
      <c r="Q364" s="172"/>
    </row>
    <row r="365" spans="6:17" s="170" customFormat="1" x14ac:dyDescent="0.2">
      <c r="F365" s="187"/>
      <c r="G365" s="187"/>
      <c r="H365" s="188"/>
      <c r="I365" s="189"/>
      <c r="J365" s="190"/>
      <c r="K365" s="190"/>
      <c r="L365" s="190"/>
      <c r="M365" s="191"/>
      <c r="N365" s="172"/>
      <c r="O365" s="172"/>
      <c r="P365" s="172"/>
      <c r="Q365" s="172"/>
    </row>
    <row r="366" spans="6:17" s="170" customFormat="1" x14ac:dyDescent="0.2">
      <c r="F366" s="187"/>
      <c r="G366" s="187"/>
      <c r="H366" s="188"/>
      <c r="I366" s="189"/>
      <c r="J366" s="190"/>
      <c r="K366" s="190"/>
      <c r="L366" s="190"/>
      <c r="M366" s="191"/>
      <c r="N366" s="172"/>
      <c r="O366" s="172"/>
      <c r="P366" s="172"/>
      <c r="Q366" s="172"/>
    </row>
    <row r="367" spans="6:17" s="170" customFormat="1" x14ac:dyDescent="0.2">
      <c r="F367" s="187"/>
      <c r="G367" s="187"/>
      <c r="H367" s="188"/>
      <c r="I367" s="189"/>
      <c r="J367" s="190"/>
      <c r="K367" s="190"/>
      <c r="L367" s="190"/>
      <c r="M367" s="191"/>
      <c r="N367" s="172"/>
      <c r="O367" s="172"/>
      <c r="P367" s="172"/>
      <c r="Q367" s="172"/>
    </row>
    <row r="368" spans="6:17" s="170" customFormat="1" x14ac:dyDescent="0.2">
      <c r="F368" s="187"/>
      <c r="G368" s="187"/>
      <c r="H368" s="188"/>
      <c r="I368" s="189"/>
      <c r="J368" s="190"/>
      <c r="K368" s="190"/>
      <c r="L368" s="190"/>
      <c r="M368" s="191"/>
      <c r="N368" s="172"/>
      <c r="O368" s="172"/>
      <c r="P368" s="172"/>
      <c r="Q368" s="172"/>
    </row>
    <row r="369" spans="6:17" s="170" customFormat="1" x14ac:dyDescent="0.2">
      <c r="F369" s="187"/>
      <c r="G369" s="187"/>
      <c r="H369" s="188"/>
      <c r="I369" s="189"/>
      <c r="J369" s="190"/>
      <c r="K369" s="190"/>
      <c r="L369" s="190"/>
      <c r="M369" s="191"/>
      <c r="N369" s="172"/>
      <c r="O369" s="172"/>
      <c r="P369" s="172"/>
      <c r="Q369" s="172"/>
    </row>
    <row r="370" spans="6:17" s="170" customFormat="1" x14ac:dyDescent="0.2">
      <c r="F370" s="187"/>
      <c r="G370" s="187"/>
      <c r="H370" s="188"/>
      <c r="I370" s="189"/>
      <c r="J370" s="190"/>
      <c r="K370" s="190"/>
      <c r="L370" s="190"/>
      <c r="M370" s="191"/>
      <c r="N370" s="172"/>
      <c r="O370" s="172"/>
      <c r="P370" s="172"/>
      <c r="Q370" s="172"/>
    </row>
    <row r="371" spans="6:17" s="170" customFormat="1" x14ac:dyDescent="0.2">
      <c r="F371" s="187"/>
      <c r="G371" s="187"/>
      <c r="H371" s="188"/>
      <c r="I371" s="189"/>
      <c r="J371" s="190"/>
      <c r="K371" s="190"/>
      <c r="L371" s="190"/>
      <c r="M371" s="191"/>
      <c r="N371" s="172"/>
      <c r="O371" s="172"/>
      <c r="P371" s="172"/>
      <c r="Q371" s="172"/>
    </row>
    <row r="372" spans="6:17" s="170" customFormat="1" x14ac:dyDescent="0.2">
      <c r="F372" s="187"/>
      <c r="G372" s="187"/>
      <c r="H372" s="188"/>
      <c r="I372" s="189"/>
      <c r="J372" s="190"/>
      <c r="K372" s="190"/>
      <c r="L372" s="190"/>
      <c r="M372" s="191"/>
      <c r="N372" s="172"/>
      <c r="O372" s="172"/>
      <c r="P372" s="172"/>
      <c r="Q372" s="172"/>
    </row>
    <row r="373" spans="6:17" s="170" customFormat="1" x14ac:dyDescent="0.2">
      <c r="F373" s="187"/>
      <c r="G373" s="187"/>
      <c r="H373" s="188"/>
      <c r="I373" s="189"/>
      <c r="J373" s="190"/>
      <c r="K373" s="190"/>
      <c r="L373" s="190"/>
      <c r="M373" s="191"/>
      <c r="N373" s="172"/>
      <c r="O373" s="172"/>
      <c r="P373" s="172"/>
      <c r="Q373" s="172"/>
    </row>
    <row r="374" spans="6:17" s="170" customFormat="1" x14ac:dyDescent="0.2">
      <c r="F374" s="187"/>
      <c r="G374" s="187"/>
      <c r="H374" s="188"/>
      <c r="I374" s="189"/>
      <c r="J374" s="190"/>
      <c r="K374" s="190"/>
      <c r="L374" s="190"/>
      <c r="M374" s="191"/>
      <c r="N374" s="172"/>
      <c r="O374" s="172"/>
      <c r="P374" s="172"/>
      <c r="Q374" s="172"/>
    </row>
    <row r="375" spans="6:17" s="170" customFormat="1" x14ac:dyDescent="0.2">
      <c r="F375" s="187"/>
      <c r="G375" s="187"/>
      <c r="H375" s="188"/>
      <c r="I375" s="189"/>
      <c r="J375" s="190"/>
      <c r="K375" s="190"/>
      <c r="L375" s="190"/>
      <c r="M375" s="191"/>
      <c r="N375" s="172"/>
      <c r="O375" s="172"/>
      <c r="P375" s="172"/>
      <c r="Q375" s="172"/>
    </row>
    <row r="376" spans="6:17" s="170" customFormat="1" x14ac:dyDescent="0.2">
      <c r="F376" s="187"/>
      <c r="G376" s="187"/>
      <c r="H376" s="188"/>
      <c r="I376" s="189"/>
      <c r="J376" s="190"/>
      <c r="K376" s="190"/>
      <c r="L376" s="190"/>
      <c r="M376" s="191"/>
      <c r="N376" s="172"/>
      <c r="O376" s="172"/>
      <c r="P376" s="172"/>
      <c r="Q376" s="172"/>
    </row>
    <row r="377" spans="6:17" s="170" customFormat="1" x14ac:dyDescent="0.2">
      <c r="F377" s="187"/>
      <c r="G377" s="187"/>
      <c r="H377" s="188"/>
      <c r="I377" s="189"/>
      <c r="J377" s="190"/>
      <c r="K377" s="190"/>
      <c r="L377" s="190"/>
      <c r="M377" s="191"/>
      <c r="N377" s="172"/>
      <c r="O377" s="172"/>
      <c r="P377" s="172"/>
      <c r="Q377" s="172"/>
    </row>
    <row r="378" spans="6:17" s="170" customFormat="1" x14ac:dyDescent="0.2">
      <c r="F378" s="187"/>
      <c r="G378" s="187"/>
      <c r="H378" s="188"/>
      <c r="I378" s="189"/>
      <c r="J378" s="190"/>
      <c r="K378" s="190"/>
      <c r="L378" s="190"/>
      <c r="M378" s="191"/>
      <c r="N378" s="172"/>
      <c r="O378" s="172"/>
      <c r="P378" s="172"/>
      <c r="Q378" s="172"/>
    </row>
    <row r="379" spans="6:17" s="170" customFormat="1" x14ac:dyDescent="0.2">
      <c r="F379" s="187"/>
      <c r="G379" s="187"/>
      <c r="H379" s="188"/>
      <c r="I379" s="189"/>
      <c r="J379" s="190"/>
      <c r="K379" s="190"/>
      <c r="L379" s="190"/>
      <c r="M379" s="191"/>
      <c r="N379" s="172"/>
      <c r="O379" s="172"/>
      <c r="P379" s="172"/>
      <c r="Q379" s="172"/>
    </row>
    <row r="380" spans="6:17" s="170" customFormat="1" x14ac:dyDescent="0.2">
      <c r="F380" s="187"/>
      <c r="G380" s="187"/>
      <c r="H380" s="188"/>
      <c r="I380" s="189"/>
      <c r="J380" s="190"/>
      <c r="K380" s="190"/>
      <c r="L380" s="190"/>
      <c r="M380" s="191"/>
      <c r="N380" s="172"/>
      <c r="O380" s="172"/>
      <c r="P380" s="172"/>
      <c r="Q380" s="172"/>
    </row>
    <row r="381" spans="6:17" s="170" customFormat="1" x14ac:dyDescent="0.2">
      <c r="F381" s="187"/>
      <c r="G381" s="187"/>
      <c r="H381" s="188"/>
      <c r="I381" s="189"/>
      <c r="J381" s="190"/>
      <c r="K381" s="190"/>
      <c r="L381" s="190"/>
      <c r="M381" s="191"/>
      <c r="N381" s="172"/>
      <c r="O381" s="172"/>
      <c r="P381" s="172"/>
      <c r="Q381" s="172"/>
    </row>
    <row r="382" spans="6:17" s="170" customFormat="1" x14ac:dyDescent="0.2">
      <c r="F382" s="187"/>
      <c r="G382" s="187"/>
      <c r="H382" s="188"/>
      <c r="I382" s="189"/>
      <c r="J382" s="190"/>
      <c r="K382" s="190"/>
      <c r="L382" s="190"/>
      <c r="M382" s="191"/>
      <c r="N382" s="172"/>
      <c r="O382" s="172"/>
      <c r="P382" s="172"/>
      <c r="Q382" s="172"/>
    </row>
    <row r="383" spans="6:17" s="170" customFormat="1" x14ac:dyDescent="0.2">
      <c r="F383" s="187"/>
      <c r="G383" s="187"/>
      <c r="H383" s="188"/>
      <c r="I383" s="189"/>
      <c r="J383" s="190"/>
      <c r="K383" s="190"/>
      <c r="L383" s="190"/>
      <c r="M383" s="191"/>
      <c r="N383" s="172"/>
      <c r="O383" s="172"/>
      <c r="P383" s="172"/>
      <c r="Q383" s="172"/>
    </row>
    <row r="384" spans="6:17" s="170" customFormat="1" x14ac:dyDescent="0.2">
      <c r="F384" s="187"/>
      <c r="G384" s="187"/>
      <c r="H384" s="188"/>
      <c r="I384" s="189"/>
      <c r="J384" s="190"/>
      <c r="K384" s="190"/>
      <c r="L384" s="190"/>
      <c r="M384" s="191"/>
      <c r="N384" s="172"/>
      <c r="O384" s="172"/>
      <c r="P384" s="172"/>
      <c r="Q384" s="172"/>
    </row>
    <row r="385" spans="6:17" s="170" customFormat="1" x14ac:dyDescent="0.2">
      <c r="F385" s="187"/>
      <c r="G385" s="187"/>
      <c r="H385" s="188"/>
      <c r="I385" s="189"/>
      <c r="J385" s="190"/>
      <c r="K385" s="190"/>
      <c r="L385" s="190"/>
      <c r="M385" s="191"/>
      <c r="N385" s="172"/>
      <c r="O385" s="172"/>
      <c r="P385" s="172"/>
      <c r="Q385" s="172"/>
    </row>
    <row r="386" spans="6:17" s="170" customFormat="1" x14ac:dyDescent="0.2">
      <c r="F386" s="187"/>
      <c r="G386" s="187"/>
      <c r="H386" s="188"/>
      <c r="I386" s="189"/>
      <c r="J386" s="190"/>
      <c r="K386" s="190"/>
      <c r="L386" s="190"/>
      <c r="M386" s="191"/>
      <c r="N386" s="172"/>
      <c r="O386" s="172"/>
      <c r="P386" s="172"/>
      <c r="Q386" s="172"/>
    </row>
    <row r="387" spans="6:17" s="170" customFormat="1" x14ac:dyDescent="0.2">
      <c r="F387" s="187"/>
      <c r="G387" s="187"/>
      <c r="H387" s="188"/>
      <c r="I387" s="189"/>
      <c r="J387" s="190"/>
      <c r="K387" s="190"/>
      <c r="L387" s="190"/>
      <c r="M387" s="191"/>
      <c r="N387" s="172"/>
      <c r="O387" s="172"/>
      <c r="P387" s="172"/>
      <c r="Q387" s="172"/>
    </row>
    <row r="388" spans="6:17" s="170" customFormat="1" x14ac:dyDescent="0.2">
      <c r="F388" s="187"/>
      <c r="G388" s="187"/>
      <c r="H388" s="188"/>
      <c r="I388" s="189"/>
      <c r="J388" s="190"/>
      <c r="K388" s="190"/>
      <c r="L388" s="190"/>
      <c r="M388" s="191"/>
      <c r="N388" s="172"/>
      <c r="O388" s="172"/>
      <c r="P388" s="172"/>
      <c r="Q388" s="172"/>
    </row>
    <row r="389" spans="6:17" s="170" customFormat="1" x14ac:dyDescent="0.2">
      <c r="F389" s="187"/>
      <c r="G389" s="187"/>
      <c r="H389" s="188"/>
      <c r="I389" s="189"/>
      <c r="J389" s="190"/>
      <c r="K389" s="190"/>
      <c r="L389" s="190"/>
      <c r="M389" s="191"/>
      <c r="N389" s="172"/>
      <c r="O389" s="172"/>
      <c r="P389" s="172"/>
      <c r="Q389" s="172"/>
    </row>
    <row r="390" spans="6:17" s="170" customFormat="1" x14ac:dyDescent="0.2">
      <c r="F390" s="187"/>
      <c r="G390" s="187"/>
      <c r="H390" s="188"/>
      <c r="I390" s="189"/>
      <c r="J390" s="190"/>
      <c r="K390" s="190"/>
      <c r="L390" s="190"/>
      <c r="M390" s="191"/>
      <c r="N390" s="172"/>
      <c r="O390" s="172"/>
      <c r="P390" s="172"/>
      <c r="Q390" s="172"/>
    </row>
    <row r="391" spans="6:17" s="170" customFormat="1" x14ac:dyDescent="0.2">
      <c r="F391" s="187"/>
      <c r="G391" s="187"/>
      <c r="H391" s="188"/>
      <c r="I391" s="189"/>
      <c r="J391" s="190"/>
      <c r="K391" s="190"/>
      <c r="L391" s="190"/>
      <c r="M391" s="191"/>
      <c r="N391" s="172"/>
      <c r="O391" s="172"/>
      <c r="P391" s="172"/>
      <c r="Q391" s="172"/>
    </row>
    <row r="392" spans="6:17" s="170" customFormat="1" x14ac:dyDescent="0.2">
      <c r="F392" s="187"/>
      <c r="G392" s="187"/>
      <c r="H392" s="188"/>
      <c r="I392" s="189"/>
      <c r="J392" s="190"/>
      <c r="K392" s="190"/>
      <c r="L392" s="190"/>
      <c r="M392" s="191"/>
      <c r="N392" s="172"/>
      <c r="O392" s="172"/>
      <c r="P392" s="172"/>
      <c r="Q392" s="172"/>
    </row>
    <row r="393" spans="6:17" s="170" customFormat="1" x14ac:dyDescent="0.2">
      <c r="F393" s="187"/>
      <c r="G393" s="187"/>
      <c r="H393" s="188"/>
      <c r="I393" s="189"/>
      <c r="J393" s="190"/>
      <c r="K393" s="190"/>
      <c r="L393" s="190"/>
      <c r="M393" s="191"/>
      <c r="N393" s="172"/>
      <c r="O393" s="172"/>
      <c r="P393" s="172"/>
      <c r="Q393" s="172"/>
    </row>
    <row r="394" spans="6:17" s="170" customFormat="1" x14ac:dyDescent="0.2">
      <c r="F394" s="187"/>
      <c r="G394" s="187"/>
      <c r="H394" s="188"/>
      <c r="I394" s="189"/>
      <c r="J394" s="190"/>
      <c r="K394" s="190"/>
      <c r="L394" s="190"/>
      <c r="M394" s="191"/>
      <c r="N394" s="172"/>
      <c r="O394" s="172"/>
      <c r="P394" s="172"/>
      <c r="Q394" s="172"/>
    </row>
    <row r="395" spans="6:17" s="170" customFormat="1" x14ac:dyDescent="0.2">
      <c r="F395" s="187"/>
      <c r="G395" s="187"/>
      <c r="H395" s="188"/>
      <c r="I395" s="189"/>
      <c r="J395" s="190"/>
      <c r="K395" s="190"/>
      <c r="L395" s="190"/>
      <c r="M395" s="191"/>
      <c r="N395" s="172"/>
      <c r="O395" s="172"/>
      <c r="P395" s="172"/>
      <c r="Q395" s="172"/>
    </row>
    <row r="396" spans="6:17" s="170" customFormat="1" x14ac:dyDescent="0.2">
      <c r="F396" s="187"/>
      <c r="G396" s="187"/>
      <c r="H396" s="188"/>
      <c r="I396" s="189"/>
      <c r="J396" s="190"/>
      <c r="K396" s="190"/>
      <c r="L396" s="190"/>
      <c r="M396" s="191"/>
      <c r="N396" s="172"/>
      <c r="O396" s="172"/>
      <c r="P396" s="172"/>
      <c r="Q396" s="172"/>
    </row>
    <row r="397" spans="6:17" s="170" customFormat="1" x14ac:dyDescent="0.2">
      <c r="F397" s="187"/>
      <c r="G397" s="187"/>
      <c r="H397" s="188"/>
      <c r="I397" s="189"/>
      <c r="J397" s="190"/>
      <c r="K397" s="190"/>
      <c r="L397" s="190"/>
      <c r="M397" s="191"/>
      <c r="N397" s="172"/>
      <c r="O397" s="172"/>
      <c r="P397" s="172"/>
      <c r="Q397" s="172"/>
    </row>
    <row r="398" spans="6:17" s="170" customFormat="1" x14ac:dyDescent="0.2">
      <c r="F398" s="187"/>
      <c r="G398" s="187"/>
      <c r="H398" s="188"/>
      <c r="I398" s="189"/>
      <c r="J398" s="190"/>
      <c r="K398" s="190"/>
      <c r="L398" s="190"/>
      <c r="M398" s="191"/>
      <c r="N398" s="172"/>
      <c r="O398" s="172"/>
      <c r="P398" s="172"/>
      <c r="Q398" s="172"/>
    </row>
    <row r="399" spans="6:17" s="170" customFormat="1" x14ac:dyDescent="0.2">
      <c r="F399" s="187"/>
      <c r="G399" s="187"/>
      <c r="H399" s="188"/>
      <c r="I399" s="189"/>
      <c r="J399" s="190"/>
      <c r="K399" s="190"/>
      <c r="L399" s="190"/>
      <c r="M399" s="191"/>
      <c r="N399" s="172"/>
      <c r="O399" s="172"/>
      <c r="P399" s="172"/>
      <c r="Q399" s="172"/>
    </row>
    <row r="400" spans="6:17" s="170" customFormat="1" x14ac:dyDescent="0.2">
      <c r="F400" s="187"/>
      <c r="G400" s="187"/>
      <c r="H400" s="188"/>
      <c r="I400" s="189"/>
      <c r="J400" s="190"/>
      <c r="K400" s="190"/>
      <c r="L400" s="190"/>
      <c r="M400" s="191"/>
      <c r="N400" s="172"/>
      <c r="O400" s="172"/>
      <c r="P400" s="172"/>
      <c r="Q400" s="172"/>
    </row>
    <row r="401" spans="6:17" s="170" customFormat="1" x14ac:dyDescent="0.2">
      <c r="F401" s="187"/>
      <c r="G401" s="187"/>
      <c r="H401" s="188"/>
      <c r="I401" s="189"/>
      <c r="J401" s="190"/>
      <c r="K401" s="190"/>
      <c r="L401" s="190"/>
      <c r="M401" s="191"/>
      <c r="N401" s="172"/>
      <c r="O401" s="172"/>
      <c r="P401" s="172"/>
      <c r="Q401" s="172"/>
    </row>
    <row r="402" spans="6:17" s="170" customFormat="1" x14ac:dyDescent="0.2">
      <c r="F402" s="187"/>
      <c r="G402" s="187"/>
      <c r="H402" s="188"/>
      <c r="I402" s="189"/>
      <c r="J402" s="190"/>
      <c r="K402" s="190"/>
      <c r="L402" s="190"/>
      <c r="M402" s="191"/>
      <c r="N402" s="172"/>
      <c r="O402" s="172"/>
      <c r="P402" s="172"/>
      <c r="Q402" s="172"/>
    </row>
    <row r="403" spans="6:17" s="170" customFormat="1" x14ac:dyDescent="0.2">
      <c r="F403" s="187"/>
      <c r="G403" s="187"/>
      <c r="H403" s="188"/>
      <c r="I403" s="189"/>
      <c r="J403" s="190"/>
      <c r="K403" s="190"/>
      <c r="L403" s="190"/>
      <c r="M403" s="191"/>
      <c r="N403" s="172"/>
      <c r="O403" s="172"/>
      <c r="P403" s="172"/>
      <c r="Q403" s="172"/>
    </row>
    <row r="404" spans="6:17" s="170" customFormat="1" x14ac:dyDescent="0.2">
      <c r="F404" s="187"/>
      <c r="G404" s="187"/>
      <c r="H404" s="188"/>
      <c r="I404" s="189"/>
      <c r="J404" s="190"/>
      <c r="K404" s="190"/>
      <c r="L404" s="190"/>
      <c r="M404" s="191"/>
      <c r="N404" s="172"/>
      <c r="O404" s="172"/>
      <c r="P404" s="172"/>
      <c r="Q404" s="172"/>
    </row>
    <row r="405" spans="6:17" s="170" customFormat="1" x14ac:dyDescent="0.2">
      <c r="F405" s="187"/>
      <c r="G405" s="187"/>
      <c r="H405" s="188"/>
      <c r="I405" s="189"/>
      <c r="J405" s="190"/>
      <c r="K405" s="190"/>
      <c r="L405" s="190"/>
      <c r="M405" s="191"/>
      <c r="N405" s="172"/>
      <c r="O405" s="172"/>
      <c r="P405" s="172"/>
      <c r="Q405" s="172"/>
    </row>
    <row r="406" spans="6:17" s="170" customFormat="1" x14ac:dyDescent="0.2">
      <c r="F406" s="187"/>
      <c r="G406" s="187"/>
      <c r="H406" s="188"/>
      <c r="I406" s="189"/>
      <c r="J406" s="190"/>
      <c r="K406" s="190"/>
      <c r="L406" s="190"/>
      <c r="M406" s="191"/>
      <c r="N406" s="172"/>
      <c r="O406" s="172"/>
      <c r="P406" s="172"/>
      <c r="Q406" s="172"/>
    </row>
    <row r="407" spans="6:17" s="170" customFormat="1" x14ac:dyDescent="0.2">
      <c r="F407" s="187"/>
      <c r="G407" s="187"/>
      <c r="H407" s="188"/>
      <c r="I407" s="189"/>
      <c r="J407" s="190"/>
      <c r="K407" s="190"/>
      <c r="L407" s="190"/>
      <c r="M407" s="191"/>
      <c r="N407" s="172"/>
      <c r="O407" s="172"/>
      <c r="P407" s="172"/>
      <c r="Q407" s="172"/>
    </row>
    <row r="408" spans="6:17" s="170" customFormat="1" x14ac:dyDescent="0.2">
      <c r="F408" s="187"/>
      <c r="G408" s="187"/>
      <c r="H408" s="188"/>
      <c r="I408" s="189"/>
      <c r="J408" s="190"/>
      <c r="K408" s="190"/>
      <c r="L408" s="190"/>
      <c r="M408" s="191"/>
      <c r="N408" s="172"/>
      <c r="O408" s="172"/>
      <c r="P408" s="172"/>
      <c r="Q408" s="172"/>
    </row>
    <row r="409" spans="6:17" s="170" customFormat="1" x14ac:dyDescent="0.2">
      <c r="F409" s="187"/>
      <c r="G409" s="187"/>
      <c r="H409" s="188"/>
      <c r="I409" s="189"/>
      <c r="J409" s="190"/>
      <c r="K409" s="190"/>
      <c r="L409" s="190"/>
      <c r="M409" s="191"/>
      <c r="N409" s="172"/>
      <c r="O409" s="172"/>
      <c r="P409" s="172"/>
      <c r="Q409" s="172"/>
    </row>
    <row r="410" spans="6:17" s="170" customFormat="1" x14ac:dyDescent="0.2">
      <c r="F410" s="187"/>
      <c r="G410" s="187"/>
      <c r="H410" s="188"/>
      <c r="I410" s="189"/>
      <c r="J410" s="190"/>
      <c r="K410" s="190"/>
      <c r="L410" s="190"/>
      <c r="M410" s="191"/>
      <c r="N410" s="172"/>
      <c r="O410" s="172"/>
      <c r="P410" s="172"/>
      <c r="Q410" s="172"/>
    </row>
    <row r="411" spans="6:17" s="170" customFormat="1" x14ac:dyDescent="0.2">
      <c r="F411" s="187"/>
      <c r="G411" s="187"/>
      <c r="H411" s="188"/>
      <c r="I411" s="189"/>
      <c r="J411" s="190"/>
      <c r="K411" s="190"/>
      <c r="L411" s="190"/>
      <c r="M411" s="191"/>
      <c r="N411" s="172"/>
      <c r="O411" s="172"/>
      <c r="P411" s="172"/>
      <c r="Q411" s="172"/>
    </row>
    <row r="412" spans="6:17" s="170" customFormat="1" x14ac:dyDescent="0.2">
      <c r="F412" s="187"/>
      <c r="G412" s="187"/>
      <c r="H412" s="188"/>
      <c r="I412" s="189"/>
      <c r="J412" s="190"/>
      <c r="K412" s="190"/>
      <c r="L412" s="190"/>
      <c r="M412" s="191"/>
      <c r="N412" s="172"/>
      <c r="O412" s="172"/>
      <c r="P412" s="172"/>
      <c r="Q412" s="172"/>
    </row>
    <row r="413" spans="6:17" s="170" customFormat="1" x14ac:dyDescent="0.2">
      <c r="F413" s="187"/>
      <c r="G413" s="187"/>
      <c r="H413" s="188"/>
      <c r="I413" s="189"/>
      <c r="J413" s="190"/>
      <c r="K413" s="190"/>
      <c r="L413" s="190"/>
      <c r="M413" s="191"/>
      <c r="N413" s="172"/>
      <c r="O413" s="172"/>
      <c r="P413" s="172"/>
      <c r="Q413" s="172"/>
    </row>
    <row r="414" spans="6:17" s="170" customFormat="1" x14ac:dyDescent="0.2">
      <c r="F414" s="187"/>
      <c r="G414" s="187"/>
      <c r="H414" s="188"/>
      <c r="I414" s="189"/>
      <c r="J414" s="190"/>
      <c r="K414" s="190"/>
      <c r="L414" s="190"/>
      <c r="M414" s="191"/>
      <c r="N414" s="172"/>
      <c r="O414" s="172"/>
      <c r="P414" s="172"/>
      <c r="Q414" s="172"/>
    </row>
    <row r="415" spans="6:17" s="170" customFormat="1" x14ac:dyDescent="0.2">
      <c r="F415" s="187"/>
      <c r="G415" s="187"/>
      <c r="H415" s="188"/>
      <c r="I415" s="189"/>
      <c r="J415" s="190"/>
      <c r="K415" s="190"/>
      <c r="L415" s="190"/>
      <c r="M415" s="191"/>
      <c r="N415" s="172"/>
      <c r="O415" s="172"/>
      <c r="P415" s="172"/>
      <c r="Q415" s="172"/>
    </row>
    <row r="416" spans="6:17" s="170" customFormat="1" x14ac:dyDescent="0.2">
      <c r="F416" s="187"/>
      <c r="G416" s="187"/>
      <c r="H416" s="188"/>
      <c r="I416" s="189"/>
      <c r="J416" s="190"/>
      <c r="K416" s="190"/>
      <c r="L416" s="190"/>
      <c r="M416" s="191"/>
      <c r="N416" s="172"/>
      <c r="O416" s="172"/>
      <c r="P416" s="172"/>
      <c r="Q416" s="172"/>
    </row>
    <row r="417" spans="6:17" s="170" customFormat="1" x14ac:dyDescent="0.2">
      <c r="F417" s="187"/>
      <c r="G417" s="187"/>
      <c r="H417" s="188"/>
      <c r="I417" s="189"/>
      <c r="J417" s="190"/>
      <c r="K417" s="190"/>
      <c r="L417" s="190"/>
      <c r="M417" s="191"/>
      <c r="N417" s="172"/>
      <c r="O417" s="172"/>
      <c r="P417" s="172"/>
      <c r="Q417" s="172"/>
    </row>
    <row r="418" spans="6:17" s="170" customFormat="1" x14ac:dyDescent="0.2">
      <c r="F418" s="187"/>
      <c r="G418" s="187"/>
      <c r="H418" s="188"/>
      <c r="I418" s="189"/>
      <c r="J418" s="190"/>
      <c r="K418" s="190"/>
      <c r="L418" s="190"/>
      <c r="M418" s="191"/>
      <c r="N418" s="172"/>
      <c r="O418" s="172"/>
      <c r="P418" s="172"/>
      <c r="Q418" s="172"/>
    </row>
    <row r="419" spans="6:17" s="170" customFormat="1" x14ac:dyDescent="0.2">
      <c r="F419" s="187"/>
      <c r="G419" s="187"/>
      <c r="H419" s="188"/>
      <c r="I419" s="189"/>
      <c r="J419" s="190"/>
      <c r="K419" s="190"/>
      <c r="L419" s="190"/>
      <c r="M419" s="191"/>
      <c r="N419" s="172"/>
      <c r="O419" s="172"/>
      <c r="P419" s="172"/>
      <c r="Q419" s="172"/>
    </row>
    <row r="420" spans="6:17" s="170" customFormat="1" x14ac:dyDescent="0.2">
      <c r="F420" s="187"/>
      <c r="G420" s="187"/>
      <c r="H420" s="188"/>
      <c r="I420" s="189"/>
      <c r="J420" s="190"/>
      <c r="K420" s="190"/>
      <c r="L420" s="190"/>
      <c r="M420" s="191"/>
      <c r="N420" s="172"/>
      <c r="O420" s="172"/>
      <c r="P420" s="172"/>
      <c r="Q420" s="172"/>
    </row>
    <row r="421" spans="6:17" s="170" customFormat="1" x14ac:dyDescent="0.2">
      <c r="F421" s="187"/>
      <c r="G421" s="187"/>
      <c r="H421" s="188"/>
      <c r="I421" s="189"/>
      <c r="J421" s="190"/>
      <c r="K421" s="190"/>
      <c r="L421" s="190"/>
      <c r="M421" s="191"/>
      <c r="N421" s="172"/>
      <c r="O421" s="172"/>
      <c r="P421" s="172"/>
      <c r="Q421" s="172"/>
    </row>
    <row r="422" spans="6:17" s="170" customFormat="1" x14ac:dyDescent="0.2">
      <c r="F422" s="187"/>
      <c r="G422" s="187"/>
      <c r="H422" s="188"/>
      <c r="I422" s="189"/>
      <c r="J422" s="190"/>
      <c r="K422" s="190"/>
      <c r="L422" s="190"/>
      <c r="M422" s="191"/>
      <c r="N422" s="172"/>
      <c r="O422" s="172"/>
      <c r="P422" s="172"/>
      <c r="Q422" s="172"/>
    </row>
    <row r="423" spans="6:17" s="170" customFormat="1" x14ac:dyDescent="0.2">
      <c r="F423" s="187"/>
      <c r="G423" s="187"/>
      <c r="H423" s="188"/>
      <c r="I423" s="189"/>
      <c r="J423" s="190"/>
      <c r="K423" s="190"/>
      <c r="L423" s="190"/>
      <c r="M423" s="191"/>
      <c r="N423" s="172"/>
      <c r="O423" s="172"/>
      <c r="P423" s="172"/>
      <c r="Q423" s="172"/>
    </row>
    <row r="424" spans="6:17" s="170" customFormat="1" x14ac:dyDescent="0.2">
      <c r="F424" s="187"/>
      <c r="G424" s="187"/>
      <c r="H424" s="188"/>
      <c r="I424" s="189"/>
      <c r="J424" s="190"/>
      <c r="K424" s="190"/>
      <c r="L424" s="190"/>
      <c r="M424" s="191"/>
      <c r="N424" s="172"/>
      <c r="O424" s="172"/>
      <c r="P424" s="172"/>
      <c r="Q424" s="172"/>
    </row>
    <row r="425" spans="6:17" s="170" customFormat="1" x14ac:dyDescent="0.2">
      <c r="F425" s="187"/>
      <c r="G425" s="187"/>
      <c r="H425" s="188"/>
      <c r="I425" s="189"/>
      <c r="J425" s="190"/>
      <c r="K425" s="190"/>
      <c r="L425" s="190"/>
      <c r="M425" s="191"/>
      <c r="N425" s="172"/>
      <c r="O425" s="172"/>
      <c r="P425" s="172"/>
      <c r="Q425" s="172"/>
    </row>
    <row r="426" spans="6:17" s="170" customFormat="1" x14ac:dyDescent="0.2">
      <c r="F426" s="187"/>
      <c r="G426" s="187"/>
      <c r="H426" s="188"/>
      <c r="I426" s="189"/>
      <c r="J426" s="190"/>
      <c r="K426" s="190"/>
      <c r="L426" s="190"/>
      <c r="M426" s="191"/>
      <c r="N426" s="172"/>
      <c r="O426" s="172"/>
      <c r="P426" s="172"/>
      <c r="Q426" s="172"/>
    </row>
    <row r="427" spans="6:17" s="170" customFormat="1" x14ac:dyDescent="0.2">
      <c r="F427" s="187"/>
      <c r="G427" s="187"/>
      <c r="H427" s="188"/>
      <c r="I427" s="189"/>
      <c r="J427" s="190"/>
      <c r="K427" s="190"/>
      <c r="L427" s="190"/>
      <c r="M427" s="191"/>
      <c r="N427" s="172"/>
      <c r="O427" s="172"/>
      <c r="P427" s="172"/>
      <c r="Q427" s="172"/>
    </row>
    <row r="428" spans="6:17" s="170" customFormat="1" x14ac:dyDescent="0.2">
      <c r="F428" s="187"/>
      <c r="G428" s="187"/>
      <c r="H428" s="188"/>
      <c r="I428" s="189"/>
      <c r="J428" s="190"/>
      <c r="K428" s="190"/>
      <c r="L428" s="190"/>
      <c r="M428" s="191"/>
      <c r="N428" s="172"/>
      <c r="O428" s="172"/>
      <c r="P428" s="172"/>
      <c r="Q428" s="172"/>
    </row>
    <row r="429" spans="6:17" s="170" customFormat="1" x14ac:dyDescent="0.2">
      <c r="F429" s="187"/>
      <c r="G429" s="187"/>
      <c r="H429" s="188"/>
      <c r="I429" s="189"/>
      <c r="J429" s="190"/>
      <c r="K429" s="190"/>
      <c r="L429" s="190"/>
      <c r="M429" s="191"/>
      <c r="N429" s="172"/>
      <c r="O429" s="172"/>
      <c r="P429" s="172"/>
      <c r="Q429" s="172"/>
    </row>
    <row r="430" spans="6:17" s="170" customFormat="1" x14ac:dyDescent="0.2">
      <c r="F430" s="187"/>
      <c r="G430" s="187"/>
      <c r="H430" s="188"/>
      <c r="I430" s="189"/>
      <c r="J430" s="190"/>
      <c r="K430" s="190"/>
      <c r="L430" s="190"/>
      <c r="M430" s="191"/>
      <c r="N430" s="172"/>
      <c r="O430" s="172"/>
      <c r="P430" s="172"/>
      <c r="Q430" s="172"/>
    </row>
    <row r="431" spans="6:17" s="170" customFormat="1" x14ac:dyDescent="0.2">
      <c r="F431" s="187"/>
      <c r="G431" s="187"/>
      <c r="H431" s="188"/>
      <c r="I431" s="189"/>
      <c r="J431" s="190"/>
      <c r="K431" s="190"/>
      <c r="L431" s="190"/>
      <c r="M431" s="191"/>
      <c r="N431" s="172"/>
      <c r="O431" s="172"/>
      <c r="P431" s="172"/>
      <c r="Q431" s="172"/>
    </row>
    <row r="432" spans="6:17" s="170" customFormat="1" x14ac:dyDescent="0.2">
      <c r="F432" s="187"/>
      <c r="G432" s="187"/>
      <c r="H432" s="188"/>
      <c r="I432" s="189"/>
      <c r="J432" s="190"/>
      <c r="K432" s="190"/>
      <c r="L432" s="190"/>
      <c r="M432" s="191"/>
      <c r="N432" s="172"/>
      <c r="O432" s="172"/>
      <c r="P432" s="172"/>
      <c r="Q432" s="172"/>
    </row>
    <row r="433" spans="6:17" s="170" customFormat="1" x14ac:dyDescent="0.2">
      <c r="F433" s="187"/>
      <c r="G433" s="187"/>
      <c r="H433" s="188"/>
      <c r="I433" s="189"/>
      <c r="J433" s="190"/>
      <c r="K433" s="190"/>
      <c r="L433" s="190"/>
      <c r="M433" s="191"/>
      <c r="N433" s="172"/>
      <c r="O433" s="172"/>
      <c r="P433" s="172"/>
      <c r="Q433" s="172"/>
    </row>
    <row r="434" spans="6:17" s="170" customFormat="1" x14ac:dyDescent="0.2">
      <c r="F434" s="187"/>
      <c r="G434" s="187"/>
      <c r="H434" s="188"/>
      <c r="I434" s="189"/>
      <c r="J434" s="190"/>
      <c r="K434" s="190"/>
      <c r="L434" s="190"/>
      <c r="M434" s="191"/>
      <c r="N434" s="172"/>
      <c r="O434" s="172"/>
      <c r="P434" s="172"/>
      <c r="Q434" s="172"/>
    </row>
    <row r="435" spans="6:17" s="170" customFormat="1" x14ac:dyDescent="0.2">
      <c r="F435" s="187"/>
      <c r="G435" s="187"/>
      <c r="H435" s="188"/>
      <c r="I435" s="189"/>
      <c r="J435" s="190"/>
      <c r="K435" s="190"/>
      <c r="L435" s="190"/>
      <c r="M435" s="191"/>
      <c r="N435" s="172"/>
      <c r="O435" s="172"/>
      <c r="P435" s="172"/>
      <c r="Q435" s="172"/>
    </row>
    <row r="436" spans="6:17" s="170" customFormat="1" x14ac:dyDescent="0.2">
      <c r="F436" s="187"/>
      <c r="G436" s="187"/>
      <c r="H436" s="188"/>
      <c r="I436" s="189"/>
      <c r="J436" s="190"/>
      <c r="K436" s="190"/>
      <c r="L436" s="190"/>
      <c r="M436" s="191"/>
      <c r="N436" s="172"/>
      <c r="O436" s="172"/>
      <c r="P436" s="172"/>
      <c r="Q436" s="172"/>
    </row>
    <row r="437" spans="6:17" s="170" customFormat="1" x14ac:dyDescent="0.2">
      <c r="F437" s="187"/>
      <c r="G437" s="187"/>
      <c r="H437" s="188"/>
      <c r="I437" s="189"/>
      <c r="J437" s="190"/>
      <c r="K437" s="190"/>
      <c r="L437" s="190"/>
      <c r="M437" s="191"/>
      <c r="N437" s="172"/>
      <c r="O437" s="172"/>
      <c r="P437" s="172"/>
      <c r="Q437" s="172"/>
    </row>
    <row r="438" spans="6:17" s="170" customFormat="1" x14ac:dyDescent="0.2">
      <c r="F438" s="187"/>
      <c r="G438" s="187"/>
      <c r="H438" s="188"/>
      <c r="I438" s="189"/>
      <c r="J438" s="190"/>
      <c r="K438" s="190"/>
      <c r="L438" s="190"/>
      <c r="M438" s="191"/>
      <c r="N438" s="172"/>
      <c r="O438" s="172"/>
      <c r="P438" s="172"/>
      <c r="Q438" s="172"/>
    </row>
    <row r="439" spans="6:17" s="170" customFormat="1" x14ac:dyDescent="0.2">
      <c r="F439" s="187"/>
      <c r="G439" s="187"/>
      <c r="H439" s="188"/>
      <c r="I439" s="189"/>
      <c r="J439" s="190"/>
      <c r="K439" s="190"/>
      <c r="L439" s="190"/>
      <c r="M439" s="191"/>
      <c r="N439" s="172"/>
      <c r="O439" s="172"/>
      <c r="P439" s="172"/>
      <c r="Q439" s="172"/>
    </row>
    <row r="440" spans="6:17" s="170" customFormat="1" x14ac:dyDescent="0.2">
      <c r="F440" s="187"/>
      <c r="G440" s="187"/>
      <c r="H440" s="188"/>
      <c r="I440" s="189"/>
      <c r="J440" s="190"/>
      <c r="K440" s="190"/>
      <c r="L440" s="190"/>
      <c r="M440" s="191"/>
      <c r="N440" s="172"/>
      <c r="O440" s="172"/>
      <c r="P440" s="172"/>
      <c r="Q440" s="172"/>
    </row>
    <row r="441" spans="6:17" s="170" customFormat="1" x14ac:dyDescent="0.2">
      <c r="F441" s="187"/>
      <c r="G441" s="187"/>
      <c r="H441" s="188"/>
      <c r="I441" s="189"/>
      <c r="J441" s="190"/>
      <c r="K441" s="190"/>
      <c r="L441" s="190"/>
      <c r="M441" s="191"/>
      <c r="N441" s="172"/>
      <c r="O441" s="172"/>
      <c r="P441" s="172"/>
      <c r="Q441" s="172"/>
    </row>
    <row r="442" spans="6:17" s="170" customFormat="1" x14ac:dyDescent="0.2">
      <c r="F442" s="187"/>
      <c r="G442" s="187"/>
      <c r="H442" s="188"/>
      <c r="I442" s="189"/>
      <c r="J442" s="190"/>
      <c r="K442" s="190"/>
      <c r="L442" s="190"/>
      <c r="M442" s="191"/>
      <c r="N442" s="172"/>
      <c r="O442" s="172"/>
      <c r="P442" s="172"/>
      <c r="Q442" s="172"/>
    </row>
    <row r="443" spans="6:17" s="170" customFormat="1" x14ac:dyDescent="0.2">
      <c r="F443" s="187"/>
      <c r="G443" s="187"/>
      <c r="H443" s="188"/>
      <c r="I443" s="189"/>
      <c r="J443" s="190"/>
      <c r="K443" s="190"/>
      <c r="L443" s="190"/>
      <c r="M443" s="191"/>
      <c r="N443" s="172"/>
      <c r="O443" s="172"/>
      <c r="P443" s="172"/>
      <c r="Q443" s="172"/>
    </row>
    <row r="444" spans="6:17" s="170" customFormat="1" x14ac:dyDescent="0.2">
      <c r="F444" s="187"/>
      <c r="G444" s="187"/>
      <c r="H444" s="188"/>
      <c r="I444" s="189"/>
      <c r="J444" s="190"/>
      <c r="K444" s="190"/>
      <c r="L444" s="190"/>
      <c r="M444" s="191"/>
      <c r="N444" s="172"/>
      <c r="O444" s="172"/>
      <c r="P444" s="172"/>
      <c r="Q444" s="172"/>
    </row>
    <row r="445" spans="6:17" s="170" customFormat="1" x14ac:dyDescent="0.2">
      <c r="F445" s="187"/>
      <c r="G445" s="187"/>
      <c r="H445" s="188"/>
      <c r="I445" s="189"/>
      <c r="J445" s="190"/>
      <c r="K445" s="190"/>
      <c r="L445" s="190"/>
      <c r="M445" s="191"/>
      <c r="N445" s="172"/>
      <c r="O445" s="172"/>
      <c r="P445" s="172"/>
      <c r="Q445" s="172"/>
    </row>
    <row r="446" spans="6:17" s="170" customFormat="1" x14ac:dyDescent="0.2">
      <c r="F446" s="187"/>
      <c r="G446" s="187"/>
      <c r="H446" s="188"/>
      <c r="I446" s="189"/>
      <c r="J446" s="190"/>
      <c r="K446" s="190"/>
      <c r="L446" s="190"/>
      <c r="M446" s="191"/>
      <c r="N446" s="172"/>
      <c r="O446" s="172"/>
      <c r="P446" s="172"/>
      <c r="Q446" s="172"/>
    </row>
    <row r="447" spans="6:17" s="170" customFormat="1" x14ac:dyDescent="0.2">
      <c r="F447" s="187"/>
      <c r="G447" s="187"/>
      <c r="H447" s="188"/>
      <c r="I447" s="189"/>
      <c r="J447" s="190"/>
      <c r="K447" s="190"/>
      <c r="L447" s="190"/>
      <c r="M447" s="191"/>
      <c r="N447" s="172"/>
      <c r="O447" s="172"/>
      <c r="P447" s="172"/>
      <c r="Q447" s="172"/>
    </row>
    <row r="448" spans="6:17" s="170" customFormat="1" x14ac:dyDescent="0.2">
      <c r="F448" s="187"/>
      <c r="G448" s="187"/>
      <c r="H448" s="188"/>
      <c r="I448" s="189"/>
      <c r="J448" s="190"/>
      <c r="K448" s="190"/>
      <c r="L448" s="190"/>
      <c r="M448" s="191"/>
      <c r="N448" s="172"/>
      <c r="O448" s="172"/>
      <c r="P448" s="172"/>
      <c r="Q448" s="172"/>
    </row>
    <row r="449" spans="6:17" s="170" customFormat="1" x14ac:dyDescent="0.2">
      <c r="F449" s="187"/>
      <c r="G449" s="187"/>
      <c r="H449" s="188"/>
      <c r="I449" s="189"/>
      <c r="J449" s="190"/>
      <c r="K449" s="190"/>
      <c r="L449" s="190"/>
      <c r="M449" s="191"/>
      <c r="N449" s="172"/>
      <c r="O449" s="172"/>
      <c r="P449" s="172"/>
      <c r="Q449" s="172"/>
    </row>
    <row r="450" spans="6:17" s="170" customFormat="1" x14ac:dyDescent="0.2">
      <c r="F450" s="187"/>
      <c r="G450" s="187"/>
      <c r="H450" s="188"/>
      <c r="I450" s="189"/>
      <c r="J450" s="190"/>
      <c r="K450" s="190"/>
      <c r="L450" s="190"/>
      <c r="M450" s="191"/>
      <c r="N450" s="172"/>
      <c r="O450" s="172"/>
      <c r="P450" s="172"/>
      <c r="Q450" s="172"/>
    </row>
    <row r="451" spans="6:17" s="170" customFormat="1" x14ac:dyDescent="0.2">
      <c r="F451" s="187"/>
      <c r="G451" s="187"/>
      <c r="H451" s="188"/>
      <c r="I451" s="189"/>
      <c r="J451" s="190"/>
      <c r="K451" s="190"/>
      <c r="L451" s="190"/>
      <c r="M451" s="191"/>
      <c r="N451" s="172"/>
      <c r="O451" s="172"/>
      <c r="P451" s="172"/>
      <c r="Q451" s="172"/>
    </row>
    <row r="452" spans="6:17" s="170" customFormat="1" x14ac:dyDescent="0.2">
      <c r="F452" s="187"/>
      <c r="G452" s="187"/>
      <c r="H452" s="188"/>
      <c r="I452" s="189"/>
      <c r="J452" s="190"/>
      <c r="K452" s="190"/>
      <c r="L452" s="190"/>
      <c r="M452" s="191"/>
      <c r="N452" s="172"/>
      <c r="O452" s="172"/>
      <c r="P452" s="172"/>
      <c r="Q452" s="172"/>
    </row>
    <row r="453" spans="6:17" s="170" customFormat="1" x14ac:dyDescent="0.2">
      <c r="F453" s="187"/>
      <c r="G453" s="187"/>
      <c r="H453" s="188"/>
      <c r="I453" s="189"/>
      <c r="J453" s="190"/>
      <c r="K453" s="190"/>
      <c r="L453" s="190"/>
      <c r="M453" s="191"/>
      <c r="N453" s="172"/>
      <c r="O453" s="172"/>
      <c r="P453" s="172"/>
      <c r="Q453" s="172"/>
    </row>
    <row r="454" spans="6:17" s="170" customFormat="1" x14ac:dyDescent="0.2">
      <c r="F454" s="187"/>
      <c r="G454" s="187"/>
      <c r="H454" s="188"/>
      <c r="I454" s="189"/>
      <c r="J454" s="190"/>
      <c r="K454" s="190"/>
      <c r="L454" s="190"/>
      <c r="M454" s="191"/>
      <c r="N454" s="172"/>
      <c r="O454" s="172"/>
      <c r="P454" s="172"/>
      <c r="Q454" s="172"/>
    </row>
    <row r="455" spans="6:17" s="170" customFormat="1" x14ac:dyDescent="0.2">
      <c r="F455" s="187"/>
      <c r="G455" s="187"/>
      <c r="H455" s="188"/>
      <c r="I455" s="189"/>
      <c r="J455" s="190"/>
      <c r="K455" s="190"/>
      <c r="L455" s="190"/>
      <c r="M455" s="191"/>
      <c r="N455" s="172"/>
      <c r="O455" s="172"/>
      <c r="P455" s="172"/>
      <c r="Q455" s="172"/>
    </row>
    <row r="456" spans="6:17" s="170" customFormat="1" x14ac:dyDescent="0.2">
      <c r="F456" s="187"/>
      <c r="G456" s="187"/>
      <c r="H456" s="188"/>
      <c r="I456" s="189"/>
      <c r="J456" s="190"/>
      <c r="K456" s="190"/>
      <c r="L456" s="190"/>
      <c r="M456" s="191"/>
      <c r="N456" s="172"/>
      <c r="O456" s="172"/>
      <c r="P456" s="172"/>
      <c r="Q456" s="172"/>
    </row>
    <row r="457" spans="6:17" s="170" customFormat="1" x14ac:dyDescent="0.2">
      <c r="F457" s="187"/>
      <c r="G457" s="187"/>
      <c r="H457" s="188"/>
      <c r="I457" s="189"/>
      <c r="J457" s="190"/>
      <c r="K457" s="190"/>
      <c r="L457" s="190"/>
      <c r="M457" s="191"/>
      <c r="N457" s="172"/>
      <c r="O457" s="172"/>
      <c r="P457" s="172"/>
      <c r="Q457" s="172"/>
    </row>
    <row r="458" spans="6:17" s="170" customFormat="1" x14ac:dyDescent="0.2">
      <c r="F458" s="187"/>
      <c r="G458" s="187"/>
      <c r="H458" s="188"/>
      <c r="I458" s="189"/>
      <c r="J458" s="190"/>
      <c r="K458" s="190"/>
      <c r="L458" s="190"/>
      <c r="M458" s="191"/>
      <c r="N458" s="172"/>
      <c r="O458" s="172"/>
      <c r="P458" s="172"/>
      <c r="Q458" s="172"/>
    </row>
    <row r="459" spans="6:17" s="170" customFormat="1" x14ac:dyDescent="0.2">
      <c r="F459" s="187"/>
      <c r="G459" s="187"/>
      <c r="H459" s="188"/>
      <c r="I459" s="189"/>
      <c r="J459" s="190"/>
      <c r="K459" s="190"/>
      <c r="L459" s="190"/>
      <c r="M459" s="191"/>
      <c r="N459" s="172"/>
      <c r="O459" s="172"/>
      <c r="P459" s="172"/>
      <c r="Q459" s="172"/>
    </row>
    <row r="460" spans="6:17" s="170" customFormat="1" x14ac:dyDescent="0.2">
      <c r="F460" s="187"/>
      <c r="G460" s="187"/>
      <c r="H460" s="188"/>
      <c r="I460" s="189"/>
      <c r="J460" s="190"/>
      <c r="K460" s="190"/>
      <c r="L460" s="190"/>
      <c r="M460" s="191"/>
      <c r="N460" s="172"/>
      <c r="O460" s="172"/>
      <c r="P460" s="172"/>
      <c r="Q460" s="172"/>
    </row>
    <row r="461" spans="6:17" s="170" customFormat="1" x14ac:dyDescent="0.2">
      <c r="F461" s="187"/>
      <c r="G461" s="187"/>
      <c r="H461" s="188"/>
      <c r="I461" s="189"/>
      <c r="J461" s="190"/>
      <c r="K461" s="190"/>
      <c r="L461" s="190"/>
      <c r="M461" s="191"/>
      <c r="N461" s="172"/>
      <c r="O461" s="172"/>
      <c r="P461" s="172"/>
      <c r="Q461" s="172"/>
    </row>
    <row r="462" spans="6:17" s="170" customFormat="1" x14ac:dyDescent="0.2">
      <c r="F462" s="187"/>
      <c r="G462" s="187"/>
      <c r="H462" s="188"/>
      <c r="I462" s="189"/>
      <c r="J462" s="190"/>
      <c r="K462" s="190"/>
      <c r="L462" s="190"/>
      <c r="M462" s="191"/>
      <c r="N462" s="172"/>
      <c r="O462" s="172"/>
      <c r="P462" s="172"/>
      <c r="Q462" s="172"/>
    </row>
    <row r="463" spans="6:17" s="170" customFormat="1" x14ac:dyDescent="0.2">
      <c r="F463" s="187"/>
      <c r="G463" s="187"/>
      <c r="H463" s="188"/>
      <c r="I463" s="189"/>
      <c r="J463" s="190"/>
      <c r="K463" s="190"/>
      <c r="L463" s="190"/>
      <c r="M463" s="191"/>
      <c r="N463" s="172"/>
      <c r="O463" s="172"/>
      <c r="P463" s="172"/>
      <c r="Q463" s="172"/>
    </row>
    <row r="464" spans="6:17" s="170" customFormat="1" x14ac:dyDescent="0.2">
      <c r="F464" s="187"/>
      <c r="G464" s="187"/>
      <c r="H464" s="188"/>
      <c r="I464" s="189"/>
      <c r="J464" s="190"/>
      <c r="K464" s="190"/>
      <c r="L464" s="190"/>
      <c r="M464" s="191"/>
      <c r="N464" s="172"/>
      <c r="O464" s="172"/>
      <c r="P464" s="172"/>
      <c r="Q464" s="172"/>
    </row>
    <row r="465" spans="6:17" s="170" customFormat="1" x14ac:dyDescent="0.2">
      <c r="F465" s="187"/>
      <c r="G465" s="187"/>
      <c r="H465" s="188"/>
      <c r="I465" s="189"/>
      <c r="J465" s="190"/>
      <c r="K465" s="190"/>
      <c r="L465" s="190"/>
      <c r="M465" s="191"/>
      <c r="N465" s="172"/>
      <c r="O465" s="172"/>
      <c r="P465" s="172"/>
      <c r="Q465" s="172"/>
    </row>
    <row r="466" spans="6:17" s="170" customFormat="1" x14ac:dyDescent="0.2">
      <c r="F466" s="187"/>
      <c r="G466" s="187"/>
      <c r="H466" s="188"/>
      <c r="I466" s="189"/>
      <c r="J466" s="190"/>
      <c r="K466" s="190"/>
      <c r="L466" s="190"/>
      <c r="M466" s="191"/>
      <c r="N466" s="172"/>
      <c r="O466" s="172"/>
      <c r="P466" s="172"/>
      <c r="Q466" s="172"/>
    </row>
    <row r="467" spans="6:17" s="170" customFormat="1" x14ac:dyDescent="0.2">
      <c r="F467" s="187"/>
      <c r="G467" s="187"/>
      <c r="H467" s="188"/>
      <c r="I467" s="189"/>
      <c r="J467" s="190"/>
      <c r="K467" s="190"/>
      <c r="L467" s="190"/>
      <c r="M467" s="191"/>
      <c r="N467" s="172"/>
      <c r="O467" s="172"/>
      <c r="P467" s="172"/>
      <c r="Q467" s="172"/>
    </row>
    <row r="468" spans="6:17" s="170" customFormat="1" x14ac:dyDescent="0.2">
      <c r="F468" s="187"/>
      <c r="G468" s="187"/>
      <c r="H468" s="188"/>
      <c r="I468" s="189"/>
      <c r="J468" s="190"/>
      <c r="K468" s="190"/>
      <c r="L468" s="190"/>
      <c r="M468" s="191"/>
      <c r="N468" s="172"/>
      <c r="O468" s="172"/>
      <c r="P468" s="172"/>
      <c r="Q468" s="172"/>
    </row>
    <row r="469" spans="6:17" s="170" customFormat="1" x14ac:dyDescent="0.2">
      <c r="F469" s="187"/>
      <c r="G469" s="187"/>
      <c r="H469" s="188"/>
      <c r="I469" s="189"/>
      <c r="J469" s="190"/>
      <c r="K469" s="190"/>
      <c r="L469" s="190"/>
      <c r="M469" s="191"/>
      <c r="N469" s="172"/>
      <c r="O469" s="172"/>
      <c r="P469" s="172"/>
      <c r="Q469" s="172"/>
    </row>
    <row r="470" spans="6:17" s="170" customFormat="1" x14ac:dyDescent="0.2">
      <c r="F470" s="187"/>
      <c r="G470" s="187"/>
      <c r="H470" s="188"/>
      <c r="I470" s="189"/>
      <c r="J470" s="190"/>
      <c r="K470" s="190"/>
      <c r="L470" s="190"/>
      <c r="M470" s="191"/>
      <c r="N470" s="172"/>
      <c r="O470" s="172"/>
      <c r="P470" s="172"/>
      <c r="Q470" s="172"/>
    </row>
    <row r="471" spans="6:17" s="170" customFormat="1" x14ac:dyDescent="0.2">
      <c r="F471" s="187"/>
      <c r="G471" s="187"/>
      <c r="H471" s="188"/>
      <c r="I471" s="189"/>
      <c r="J471" s="190"/>
      <c r="K471" s="190"/>
      <c r="L471" s="190"/>
      <c r="M471" s="191"/>
      <c r="N471" s="172"/>
      <c r="O471" s="172"/>
      <c r="P471" s="172"/>
      <c r="Q471" s="172"/>
    </row>
    <row r="472" spans="6:17" s="170" customFormat="1" x14ac:dyDescent="0.2">
      <c r="F472" s="187"/>
      <c r="G472" s="187"/>
      <c r="H472" s="188"/>
      <c r="I472" s="189"/>
      <c r="J472" s="190"/>
      <c r="K472" s="190"/>
      <c r="L472" s="190"/>
      <c r="M472" s="191"/>
      <c r="N472" s="172"/>
      <c r="O472" s="172"/>
      <c r="P472" s="172"/>
      <c r="Q472" s="172"/>
    </row>
    <row r="473" spans="6:17" s="170" customFormat="1" x14ac:dyDescent="0.2">
      <c r="F473" s="187"/>
      <c r="G473" s="187"/>
      <c r="H473" s="188"/>
      <c r="I473" s="189"/>
      <c r="J473" s="190"/>
      <c r="K473" s="190"/>
      <c r="L473" s="190"/>
      <c r="M473" s="191"/>
      <c r="N473" s="172"/>
      <c r="O473" s="172"/>
      <c r="P473" s="172"/>
      <c r="Q473" s="172"/>
    </row>
    <row r="474" spans="6:17" s="170" customFormat="1" x14ac:dyDescent="0.2">
      <c r="F474" s="187"/>
      <c r="G474" s="187"/>
      <c r="H474" s="188"/>
      <c r="I474" s="189"/>
      <c r="J474" s="190"/>
      <c r="K474" s="190"/>
      <c r="L474" s="190"/>
      <c r="M474" s="191"/>
      <c r="N474" s="172"/>
      <c r="O474" s="172"/>
      <c r="P474" s="172"/>
      <c r="Q474" s="172"/>
    </row>
    <row r="475" spans="6:17" s="170" customFormat="1" x14ac:dyDescent="0.2">
      <c r="F475" s="187"/>
      <c r="G475" s="187"/>
      <c r="H475" s="188"/>
      <c r="I475" s="189"/>
      <c r="J475" s="190"/>
      <c r="K475" s="190"/>
      <c r="L475" s="190"/>
      <c r="M475" s="191"/>
      <c r="N475" s="172"/>
      <c r="O475" s="172"/>
      <c r="P475" s="172"/>
      <c r="Q475" s="172"/>
    </row>
    <row r="476" spans="6:17" s="170" customFormat="1" x14ac:dyDescent="0.2">
      <c r="F476" s="187"/>
      <c r="G476" s="187"/>
      <c r="H476" s="188"/>
      <c r="I476" s="189"/>
      <c r="J476" s="190"/>
      <c r="K476" s="190"/>
      <c r="L476" s="190"/>
      <c r="M476" s="191"/>
      <c r="N476" s="172"/>
      <c r="O476" s="172"/>
      <c r="P476" s="172"/>
      <c r="Q476" s="172"/>
    </row>
    <row r="477" spans="6:17" s="170" customFormat="1" x14ac:dyDescent="0.2">
      <c r="F477" s="187"/>
      <c r="G477" s="187"/>
      <c r="H477" s="188"/>
      <c r="I477" s="189"/>
      <c r="J477" s="190"/>
      <c r="K477" s="190"/>
      <c r="L477" s="190"/>
      <c r="M477" s="191"/>
      <c r="N477" s="172"/>
      <c r="O477" s="172"/>
      <c r="P477" s="172"/>
      <c r="Q477" s="172"/>
    </row>
    <row r="478" spans="6:17" s="170" customFormat="1" x14ac:dyDescent="0.2">
      <c r="F478" s="187"/>
      <c r="G478" s="187"/>
      <c r="H478" s="188"/>
      <c r="I478" s="189"/>
      <c r="J478" s="190"/>
      <c r="K478" s="190"/>
      <c r="L478" s="190"/>
      <c r="M478" s="191"/>
      <c r="N478" s="172"/>
      <c r="O478" s="172"/>
      <c r="P478" s="172"/>
      <c r="Q478" s="172"/>
    </row>
    <row r="479" spans="6:17" s="170" customFormat="1" x14ac:dyDescent="0.2">
      <c r="F479" s="187"/>
      <c r="G479" s="187"/>
      <c r="H479" s="188"/>
      <c r="I479" s="189"/>
      <c r="J479" s="190"/>
      <c r="K479" s="190"/>
      <c r="L479" s="190"/>
      <c r="M479" s="191"/>
      <c r="N479" s="172"/>
      <c r="O479" s="172"/>
      <c r="P479" s="172"/>
      <c r="Q479" s="172"/>
    </row>
    <row r="480" spans="6:17" s="170" customFormat="1" x14ac:dyDescent="0.2">
      <c r="F480" s="187"/>
      <c r="G480" s="187"/>
      <c r="H480" s="188"/>
      <c r="I480" s="189"/>
      <c r="J480" s="190"/>
      <c r="K480" s="190"/>
      <c r="L480" s="190"/>
      <c r="M480" s="191"/>
      <c r="N480" s="172"/>
      <c r="O480" s="172"/>
      <c r="P480" s="172"/>
      <c r="Q480" s="172"/>
    </row>
    <row r="481" spans="6:17" s="170" customFormat="1" x14ac:dyDescent="0.2">
      <c r="F481" s="187"/>
      <c r="G481" s="187"/>
      <c r="H481" s="188"/>
      <c r="I481" s="189"/>
      <c r="J481" s="190"/>
      <c r="K481" s="190"/>
      <c r="L481" s="190"/>
      <c r="M481" s="191"/>
      <c r="N481" s="172"/>
      <c r="O481" s="172"/>
      <c r="P481" s="172"/>
      <c r="Q481" s="172"/>
    </row>
    <row r="482" spans="6:17" s="170" customFormat="1" x14ac:dyDescent="0.2">
      <c r="F482" s="187"/>
      <c r="G482" s="187"/>
      <c r="H482" s="188"/>
      <c r="I482" s="189"/>
      <c r="J482" s="190"/>
      <c r="K482" s="190"/>
      <c r="L482" s="190"/>
      <c r="M482" s="191"/>
      <c r="N482" s="172"/>
      <c r="O482" s="172"/>
      <c r="P482" s="172"/>
      <c r="Q482" s="172"/>
    </row>
    <row r="483" spans="6:17" s="170" customFormat="1" x14ac:dyDescent="0.2">
      <c r="F483" s="187"/>
      <c r="G483" s="187"/>
      <c r="H483" s="188"/>
      <c r="I483" s="189"/>
      <c r="J483" s="190"/>
      <c r="K483" s="190"/>
      <c r="L483" s="190"/>
      <c r="M483" s="191"/>
      <c r="N483" s="172"/>
      <c r="O483" s="172"/>
      <c r="P483" s="172"/>
      <c r="Q483" s="172"/>
    </row>
    <row r="484" spans="6:17" s="170" customFormat="1" x14ac:dyDescent="0.2">
      <c r="F484" s="187"/>
      <c r="G484" s="187"/>
      <c r="H484" s="188"/>
      <c r="I484" s="189"/>
      <c r="J484" s="190"/>
      <c r="K484" s="190"/>
      <c r="L484" s="190"/>
      <c r="M484" s="191"/>
      <c r="N484" s="172"/>
      <c r="O484" s="172"/>
      <c r="P484" s="172"/>
      <c r="Q484" s="172"/>
    </row>
    <row r="485" spans="6:17" s="170" customFormat="1" x14ac:dyDescent="0.2">
      <c r="F485" s="187"/>
      <c r="G485" s="187"/>
      <c r="H485" s="188"/>
      <c r="I485" s="189"/>
      <c r="J485" s="190"/>
      <c r="K485" s="190"/>
      <c r="L485" s="190"/>
      <c r="M485" s="191"/>
      <c r="N485" s="172"/>
      <c r="O485" s="172"/>
      <c r="P485" s="172"/>
      <c r="Q485" s="172"/>
    </row>
    <row r="486" spans="6:17" s="170" customFormat="1" x14ac:dyDescent="0.2">
      <c r="F486" s="187"/>
      <c r="G486" s="187"/>
      <c r="H486" s="188"/>
      <c r="I486" s="189"/>
      <c r="J486" s="190"/>
      <c r="K486" s="190"/>
      <c r="L486" s="190"/>
      <c r="M486" s="191"/>
      <c r="N486" s="172"/>
      <c r="O486" s="172"/>
      <c r="P486" s="172"/>
      <c r="Q486" s="172"/>
    </row>
    <row r="487" spans="6:17" s="170" customFormat="1" x14ac:dyDescent="0.2">
      <c r="F487" s="187"/>
      <c r="G487" s="187"/>
      <c r="H487" s="188"/>
      <c r="I487" s="189"/>
      <c r="J487" s="190"/>
      <c r="K487" s="190"/>
      <c r="L487" s="190"/>
      <c r="M487" s="191"/>
      <c r="N487" s="172"/>
      <c r="O487" s="172"/>
      <c r="P487" s="172"/>
      <c r="Q487" s="172"/>
    </row>
    <row r="488" spans="6:17" s="170" customFormat="1" x14ac:dyDescent="0.2">
      <c r="F488" s="187"/>
      <c r="G488" s="187"/>
      <c r="H488" s="188"/>
      <c r="I488" s="189"/>
      <c r="J488" s="190"/>
      <c r="K488" s="190"/>
      <c r="L488" s="190"/>
      <c r="M488" s="191"/>
      <c r="N488" s="172"/>
      <c r="O488" s="172"/>
      <c r="P488" s="172"/>
      <c r="Q488" s="172"/>
    </row>
    <row r="489" spans="6:17" s="170" customFormat="1" x14ac:dyDescent="0.2">
      <c r="F489" s="187"/>
      <c r="G489" s="187"/>
      <c r="H489" s="188"/>
      <c r="I489" s="189"/>
      <c r="J489" s="190"/>
      <c r="K489" s="190"/>
      <c r="L489" s="190"/>
      <c r="M489" s="191"/>
      <c r="N489" s="172"/>
      <c r="O489" s="172"/>
      <c r="P489" s="172"/>
      <c r="Q489" s="172"/>
    </row>
    <row r="490" spans="6:17" s="170" customFormat="1" x14ac:dyDescent="0.2">
      <c r="F490" s="187"/>
      <c r="G490" s="187"/>
      <c r="H490" s="188"/>
      <c r="I490" s="189"/>
      <c r="J490" s="190"/>
      <c r="K490" s="190"/>
      <c r="L490" s="190"/>
      <c r="M490" s="191"/>
      <c r="N490" s="172"/>
      <c r="O490" s="172"/>
      <c r="P490" s="172"/>
      <c r="Q490" s="172"/>
    </row>
    <row r="491" spans="6:17" s="170" customFormat="1" x14ac:dyDescent="0.2">
      <c r="F491" s="187"/>
      <c r="G491" s="187"/>
      <c r="H491" s="188"/>
      <c r="I491" s="189"/>
      <c r="J491" s="190"/>
      <c r="K491" s="190"/>
      <c r="L491" s="190"/>
      <c r="M491" s="191"/>
      <c r="N491" s="172"/>
      <c r="O491" s="172"/>
      <c r="P491" s="172"/>
      <c r="Q491" s="172"/>
    </row>
    <row r="492" spans="6:17" s="170" customFormat="1" x14ac:dyDescent="0.2">
      <c r="F492" s="187"/>
      <c r="G492" s="187"/>
      <c r="H492" s="188"/>
      <c r="I492" s="189"/>
      <c r="J492" s="190"/>
      <c r="K492" s="190"/>
      <c r="L492" s="190"/>
      <c r="M492" s="191"/>
      <c r="N492" s="172"/>
      <c r="O492" s="172"/>
      <c r="P492" s="172"/>
      <c r="Q492" s="172"/>
    </row>
    <row r="493" spans="6:17" s="170" customFormat="1" x14ac:dyDescent="0.2">
      <c r="F493" s="187"/>
      <c r="G493" s="187"/>
      <c r="H493" s="188"/>
      <c r="I493" s="189"/>
      <c r="J493" s="190"/>
      <c r="K493" s="190"/>
      <c r="L493" s="190"/>
      <c r="M493" s="191"/>
      <c r="N493" s="172"/>
      <c r="O493" s="172"/>
      <c r="P493" s="172"/>
      <c r="Q493" s="172"/>
    </row>
    <row r="494" spans="6:17" s="170" customFormat="1" x14ac:dyDescent="0.2">
      <c r="F494" s="187"/>
      <c r="G494" s="187"/>
      <c r="H494" s="188"/>
      <c r="I494" s="189"/>
      <c r="J494" s="190"/>
      <c r="K494" s="190"/>
      <c r="L494" s="190"/>
      <c r="M494" s="191"/>
      <c r="N494" s="172"/>
      <c r="O494" s="172"/>
      <c r="P494" s="172"/>
      <c r="Q494" s="172"/>
    </row>
    <row r="495" spans="6:17" s="170" customFormat="1" x14ac:dyDescent="0.2">
      <c r="F495" s="187"/>
      <c r="G495" s="187"/>
      <c r="H495" s="188"/>
      <c r="I495" s="189"/>
      <c r="J495" s="190"/>
      <c r="K495" s="190"/>
      <c r="L495" s="190"/>
      <c r="M495" s="191"/>
      <c r="N495" s="172"/>
      <c r="O495" s="172"/>
      <c r="P495" s="172"/>
      <c r="Q495" s="172"/>
    </row>
    <row r="496" spans="6:17" s="170" customFormat="1" x14ac:dyDescent="0.2">
      <c r="F496" s="187"/>
      <c r="G496" s="187"/>
      <c r="H496" s="188"/>
      <c r="I496" s="189"/>
      <c r="J496" s="190"/>
      <c r="K496" s="190"/>
      <c r="L496" s="190"/>
      <c r="M496" s="191"/>
      <c r="N496" s="172"/>
      <c r="O496" s="172"/>
      <c r="P496" s="172"/>
      <c r="Q496" s="172"/>
    </row>
    <row r="497" spans="6:17" s="170" customFormat="1" x14ac:dyDescent="0.2">
      <c r="F497" s="187"/>
      <c r="G497" s="187"/>
      <c r="H497" s="188"/>
      <c r="I497" s="189"/>
      <c r="J497" s="190"/>
      <c r="K497" s="190"/>
      <c r="L497" s="190"/>
      <c r="M497" s="191"/>
      <c r="N497" s="172"/>
      <c r="O497" s="172"/>
      <c r="P497" s="172"/>
      <c r="Q497" s="172"/>
    </row>
    <row r="498" spans="6:17" s="170" customFormat="1" x14ac:dyDescent="0.2">
      <c r="F498" s="187"/>
      <c r="G498" s="187"/>
      <c r="H498" s="188"/>
      <c r="I498" s="189"/>
      <c r="J498" s="190"/>
      <c r="K498" s="190"/>
      <c r="L498" s="190"/>
      <c r="M498" s="191"/>
      <c r="N498" s="172"/>
      <c r="O498" s="172"/>
      <c r="P498" s="172"/>
      <c r="Q498" s="172"/>
    </row>
    <row r="499" spans="6:17" s="170" customFormat="1" x14ac:dyDescent="0.2">
      <c r="F499" s="187"/>
      <c r="G499" s="187"/>
      <c r="H499" s="188"/>
      <c r="I499" s="189"/>
      <c r="J499" s="190"/>
      <c r="K499" s="190"/>
      <c r="L499" s="190"/>
      <c r="M499" s="191"/>
      <c r="N499" s="172"/>
      <c r="O499" s="172"/>
      <c r="P499" s="172"/>
      <c r="Q499" s="172"/>
    </row>
    <row r="500" spans="6:17" s="170" customFormat="1" x14ac:dyDescent="0.2">
      <c r="F500" s="187"/>
      <c r="G500" s="187"/>
      <c r="H500" s="188"/>
      <c r="I500" s="189"/>
      <c r="J500" s="190"/>
      <c r="K500" s="190"/>
      <c r="L500" s="190"/>
      <c r="M500" s="191"/>
      <c r="N500" s="172"/>
      <c r="O500" s="172"/>
      <c r="P500" s="172"/>
      <c r="Q500" s="172"/>
    </row>
    <row r="501" spans="6:17" s="170" customFormat="1" x14ac:dyDescent="0.2">
      <c r="F501" s="187"/>
      <c r="G501" s="187"/>
      <c r="H501" s="188"/>
      <c r="I501" s="189"/>
      <c r="J501" s="190"/>
      <c r="K501" s="190"/>
      <c r="L501" s="190"/>
      <c r="M501" s="191"/>
      <c r="N501" s="172"/>
      <c r="O501" s="172"/>
      <c r="P501" s="172"/>
      <c r="Q501" s="172"/>
    </row>
    <row r="502" spans="6:17" s="170" customFormat="1" x14ac:dyDescent="0.2">
      <c r="F502" s="187"/>
      <c r="G502" s="187"/>
      <c r="H502" s="188"/>
      <c r="I502" s="189"/>
      <c r="J502" s="190"/>
      <c r="K502" s="190"/>
      <c r="L502" s="190"/>
      <c r="M502" s="191"/>
      <c r="N502" s="172"/>
      <c r="O502" s="172"/>
      <c r="P502" s="172"/>
      <c r="Q502" s="172"/>
    </row>
    <row r="503" spans="6:17" s="170" customFormat="1" x14ac:dyDescent="0.2">
      <c r="F503" s="187"/>
      <c r="G503" s="187"/>
      <c r="H503" s="188"/>
      <c r="I503" s="189"/>
      <c r="J503" s="190"/>
      <c r="K503" s="190"/>
      <c r="L503" s="190"/>
      <c r="M503" s="191"/>
      <c r="N503" s="172"/>
      <c r="O503" s="172"/>
      <c r="P503" s="172"/>
      <c r="Q503" s="172"/>
    </row>
    <row r="504" spans="6:17" s="170" customFormat="1" x14ac:dyDescent="0.2">
      <c r="F504" s="187"/>
      <c r="G504" s="187"/>
      <c r="H504" s="188"/>
      <c r="I504" s="189"/>
      <c r="J504" s="190"/>
      <c r="K504" s="190"/>
      <c r="L504" s="190"/>
      <c r="M504" s="191"/>
      <c r="N504" s="172"/>
      <c r="O504" s="172"/>
      <c r="P504" s="172"/>
      <c r="Q504" s="172"/>
    </row>
    <row r="505" spans="6:17" s="170" customFormat="1" x14ac:dyDescent="0.2">
      <c r="F505" s="187"/>
      <c r="G505" s="187"/>
      <c r="H505" s="188"/>
      <c r="I505" s="189"/>
      <c r="J505" s="190"/>
      <c r="K505" s="190"/>
      <c r="L505" s="190"/>
      <c r="M505" s="191"/>
      <c r="N505" s="172"/>
      <c r="O505" s="172"/>
      <c r="P505" s="172"/>
      <c r="Q505" s="172"/>
    </row>
    <row r="506" spans="6:17" s="170" customFormat="1" x14ac:dyDescent="0.2">
      <c r="F506" s="187"/>
      <c r="G506" s="187"/>
      <c r="H506" s="188"/>
      <c r="I506" s="189"/>
      <c r="J506" s="190"/>
      <c r="K506" s="190"/>
      <c r="L506" s="190"/>
      <c r="M506" s="191"/>
      <c r="N506" s="172"/>
      <c r="O506" s="172"/>
      <c r="P506" s="172"/>
      <c r="Q506" s="172"/>
    </row>
    <row r="507" spans="6:17" s="170" customFormat="1" x14ac:dyDescent="0.2">
      <c r="F507" s="187"/>
      <c r="G507" s="187"/>
      <c r="H507" s="188"/>
      <c r="I507" s="189"/>
      <c r="J507" s="190"/>
      <c r="K507" s="190"/>
      <c r="L507" s="190"/>
      <c r="M507" s="191"/>
      <c r="N507" s="172"/>
      <c r="O507" s="172"/>
      <c r="P507" s="172"/>
      <c r="Q507" s="172"/>
    </row>
    <row r="508" spans="6:17" s="170" customFormat="1" x14ac:dyDescent="0.2">
      <c r="F508" s="187"/>
      <c r="G508" s="187"/>
      <c r="H508" s="188"/>
      <c r="I508" s="189"/>
      <c r="J508" s="190"/>
      <c r="K508" s="190"/>
      <c r="L508" s="190"/>
      <c r="M508" s="191"/>
      <c r="N508" s="172"/>
      <c r="O508" s="172"/>
      <c r="P508" s="172"/>
      <c r="Q508" s="172"/>
    </row>
    <row r="509" spans="6:17" s="170" customFormat="1" x14ac:dyDescent="0.2">
      <c r="F509" s="187"/>
      <c r="G509" s="187"/>
      <c r="H509" s="188"/>
      <c r="I509" s="189"/>
      <c r="J509" s="190"/>
      <c r="K509" s="190"/>
      <c r="L509" s="190"/>
      <c r="M509" s="191"/>
      <c r="N509" s="172"/>
      <c r="O509" s="172"/>
      <c r="P509" s="172"/>
      <c r="Q509" s="172"/>
    </row>
    <row r="510" spans="6:17" s="170" customFormat="1" x14ac:dyDescent="0.2">
      <c r="F510" s="187"/>
      <c r="G510" s="187"/>
      <c r="H510" s="188"/>
      <c r="I510" s="189"/>
      <c r="J510" s="190"/>
      <c r="K510" s="190"/>
      <c r="L510" s="190"/>
      <c r="M510" s="191"/>
      <c r="N510" s="172"/>
      <c r="O510" s="172"/>
      <c r="P510" s="172"/>
      <c r="Q510" s="172"/>
    </row>
    <row r="511" spans="6:17" s="170" customFormat="1" x14ac:dyDescent="0.2">
      <c r="F511" s="187"/>
      <c r="G511" s="187"/>
      <c r="H511" s="188"/>
      <c r="I511" s="189"/>
      <c r="J511" s="190"/>
      <c r="K511" s="190"/>
      <c r="L511" s="190"/>
      <c r="M511" s="191"/>
      <c r="N511" s="172"/>
      <c r="O511" s="172"/>
      <c r="P511" s="172"/>
      <c r="Q511" s="172"/>
    </row>
    <row r="512" spans="6:17" s="170" customFormat="1" x14ac:dyDescent="0.2">
      <c r="F512" s="187"/>
      <c r="G512" s="187"/>
      <c r="H512" s="188"/>
      <c r="I512" s="189"/>
      <c r="J512" s="190"/>
      <c r="K512" s="190"/>
      <c r="L512" s="190"/>
      <c r="M512" s="191"/>
      <c r="N512" s="172"/>
      <c r="O512" s="172"/>
      <c r="P512" s="172"/>
      <c r="Q512" s="172"/>
    </row>
    <row r="513" spans="6:17" s="170" customFormat="1" x14ac:dyDescent="0.2">
      <c r="F513" s="187"/>
      <c r="G513" s="187"/>
      <c r="H513" s="188"/>
      <c r="I513" s="189"/>
      <c r="J513" s="190"/>
      <c r="K513" s="190"/>
      <c r="L513" s="190"/>
      <c r="M513" s="191"/>
      <c r="N513" s="172"/>
      <c r="O513" s="172"/>
      <c r="P513" s="172"/>
      <c r="Q513" s="172"/>
    </row>
    <row r="514" spans="6:17" s="170" customFormat="1" x14ac:dyDescent="0.2">
      <c r="F514" s="187"/>
      <c r="G514" s="187"/>
      <c r="H514" s="188"/>
      <c r="I514" s="189"/>
      <c r="J514" s="190"/>
      <c r="K514" s="190"/>
      <c r="L514" s="190"/>
      <c r="M514" s="191"/>
      <c r="N514" s="172"/>
      <c r="O514" s="172"/>
      <c r="P514" s="172"/>
      <c r="Q514" s="172"/>
    </row>
    <row r="515" spans="6:17" s="170" customFormat="1" x14ac:dyDescent="0.2">
      <c r="F515" s="187"/>
      <c r="G515" s="187"/>
      <c r="H515" s="188"/>
      <c r="I515" s="189"/>
      <c r="J515" s="190"/>
      <c r="K515" s="190"/>
      <c r="L515" s="190"/>
      <c r="M515" s="191"/>
      <c r="N515" s="172"/>
      <c r="O515" s="172"/>
      <c r="P515" s="172"/>
      <c r="Q515" s="172"/>
    </row>
    <row r="516" spans="6:17" s="170" customFormat="1" x14ac:dyDescent="0.2">
      <c r="F516" s="187"/>
      <c r="G516" s="187"/>
      <c r="H516" s="188"/>
      <c r="I516" s="189"/>
      <c r="J516" s="190"/>
      <c r="K516" s="190"/>
      <c r="L516" s="190"/>
      <c r="M516" s="191"/>
      <c r="N516" s="172"/>
      <c r="O516" s="172"/>
      <c r="P516" s="172"/>
      <c r="Q516" s="172"/>
    </row>
    <row r="517" spans="6:17" s="170" customFormat="1" x14ac:dyDescent="0.2">
      <c r="F517" s="187"/>
      <c r="G517" s="187"/>
      <c r="H517" s="188"/>
      <c r="I517" s="189"/>
      <c r="J517" s="190"/>
      <c r="K517" s="190"/>
      <c r="L517" s="190"/>
      <c r="M517" s="191"/>
      <c r="N517" s="172"/>
      <c r="O517" s="172"/>
      <c r="P517" s="172"/>
      <c r="Q517" s="172"/>
    </row>
    <row r="518" spans="6:17" s="170" customFormat="1" x14ac:dyDescent="0.2">
      <c r="F518" s="187"/>
      <c r="G518" s="187"/>
      <c r="H518" s="188"/>
      <c r="I518" s="189"/>
      <c r="J518" s="190"/>
      <c r="K518" s="190"/>
      <c r="L518" s="190"/>
      <c r="M518" s="191"/>
      <c r="N518" s="172"/>
      <c r="O518" s="172"/>
      <c r="P518" s="172"/>
      <c r="Q518" s="172"/>
    </row>
    <row r="519" spans="6:17" s="170" customFormat="1" x14ac:dyDescent="0.2">
      <c r="F519" s="187"/>
      <c r="G519" s="187"/>
      <c r="H519" s="188"/>
      <c r="I519" s="189"/>
      <c r="J519" s="190"/>
      <c r="K519" s="190"/>
      <c r="L519" s="190"/>
      <c r="M519" s="191"/>
      <c r="N519" s="172"/>
      <c r="O519" s="172"/>
      <c r="P519" s="172"/>
      <c r="Q519" s="172"/>
    </row>
    <row r="520" spans="6:17" s="170" customFormat="1" x14ac:dyDescent="0.2">
      <c r="F520" s="187"/>
      <c r="G520" s="187"/>
      <c r="H520" s="188"/>
      <c r="I520" s="189"/>
      <c r="J520" s="190"/>
      <c r="K520" s="190"/>
      <c r="L520" s="190"/>
      <c r="M520" s="191"/>
      <c r="N520" s="172"/>
      <c r="O520" s="172"/>
      <c r="P520" s="172"/>
      <c r="Q520" s="172"/>
    </row>
    <row r="521" spans="6:17" s="170" customFormat="1" x14ac:dyDescent="0.2">
      <c r="F521" s="187"/>
      <c r="G521" s="187"/>
      <c r="H521" s="188"/>
      <c r="I521" s="189"/>
      <c r="J521" s="190"/>
      <c r="K521" s="190"/>
      <c r="L521" s="190"/>
      <c r="M521" s="191"/>
      <c r="N521" s="172"/>
      <c r="O521" s="172"/>
      <c r="P521" s="172"/>
      <c r="Q521" s="172"/>
    </row>
    <row r="522" spans="6:17" s="170" customFormat="1" x14ac:dyDescent="0.2">
      <c r="F522" s="187"/>
      <c r="G522" s="187"/>
      <c r="H522" s="188"/>
      <c r="I522" s="189"/>
      <c r="J522" s="190"/>
      <c r="K522" s="190"/>
      <c r="L522" s="190"/>
      <c r="M522" s="191"/>
      <c r="N522" s="172"/>
      <c r="O522" s="172"/>
      <c r="P522" s="172"/>
      <c r="Q522" s="172"/>
    </row>
    <row r="523" spans="6:17" s="170" customFormat="1" x14ac:dyDescent="0.2">
      <c r="F523" s="187"/>
      <c r="G523" s="187"/>
      <c r="H523" s="188"/>
      <c r="I523" s="189"/>
      <c r="J523" s="190"/>
      <c r="K523" s="190"/>
      <c r="L523" s="190"/>
      <c r="M523" s="191"/>
      <c r="N523" s="172"/>
      <c r="O523" s="172"/>
      <c r="P523" s="172"/>
      <c r="Q523" s="172"/>
    </row>
    <row r="524" spans="6:17" s="170" customFormat="1" x14ac:dyDescent="0.2">
      <c r="F524" s="187"/>
      <c r="G524" s="187"/>
      <c r="H524" s="188"/>
      <c r="I524" s="189"/>
      <c r="J524" s="190"/>
      <c r="K524" s="190"/>
      <c r="L524" s="190"/>
      <c r="M524" s="191"/>
      <c r="N524" s="172"/>
      <c r="O524" s="172"/>
      <c r="P524" s="172"/>
      <c r="Q524" s="172"/>
    </row>
    <row r="525" spans="6:17" s="170" customFormat="1" x14ac:dyDescent="0.2">
      <c r="F525" s="187"/>
      <c r="G525" s="187"/>
      <c r="H525" s="188"/>
      <c r="I525" s="189"/>
      <c r="J525" s="190"/>
      <c r="K525" s="190"/>
      <c r="L525" s="190"/>
      <c r="M525" s="191"/>
      <c r="N525" s="172"/>
      <c r="O525" s="172"/>
      <c r="P525" s="172"/>
      <c r="Q525" s="172"/>
    </row>
    <row r="526" spans="6:17" s="170" customFormat="1" x14ac:dyDescent="0.2">
      <c r="F526" s="187"/>
      <c r="G526" s="187"/>
      <c r="H526" s="188"/>
      <c r="I526" s="189"/>
      <c r="J526" s="190"/>
      <c r="K526" s="190"/>
      <c r="L526" s="190"/>
      <c r="M526" s="191"/>
      <c r="N526" s="172"/>
      <c r="O526" s="172"/>
      <c r="P526" s="172"/>
      <c r="Q526" s="172"/>
    </row>
    <row r="527" spans="6:17" s="170" customFormat="1" x14ac:dyDescent="0.2">
      <c r="F527" s="187"/>
      <c r="G527" s="187"/>
      <c r="H527" s="188"/>
      <c r="I527" s="189"/>
      <c r="J527" s="190"/>
      <c r="K527" s="190"/>
      <c r="L527" s="190"/>
      <c r="M527" s="191"/>
      <c r="N527" s="172"/>
      <c r="O527" s="172"/>
      <c r="P527" s="172"/>
      <c r="Q527" s="172"/>
    </row>
    <row r="528" spans="6:17" s="170" customFormat="1" x14ac:dyDescent="0.2">
      <c r="F528" s="187"/>
      <c r="G528" s="187"/>
      <c r="H528" s="188"/>
      <c r="I528" s="189"/>
      <c r="J528" s="190"/>
      <c r="K528" s="190"/>
      <c r="L528" s="190"/>
      <c r="M528" s="191"/>
      <c r="N528" s="172"/>
      <c r="O528" s="172"/>
      <c r="P528" s="172"/>
      <c r="Q528" s="172"/>
    </row>
    <row r="529" spans="6:17" s="170" customFormat="1" x14ac:dyDescent="0.2">
      <c r="F529" s="187"/>
      <c r="G529" s="187"/>
      <c r="H529" s="188"/>
      <c r="I529" s="189"/>
      <c r="J529" s="190"/>
      <c r="K529" s="190"/>
      <c r="L529" s="190"/>
      <c r="M529" s="191"/>
      <c r="N529" s="172"/>
      <c r="O529" s="172"/>
      <c r="P529" s="172"/>
      <c r="Q529" s="172"/>
    </row>
    <row r="530" spans="6:17" s="170" customFormat="1" x14ac:dyDescent="0.2">
      <c r="F530" s="187"/>
      <c r="G530" s="187"/>
      <c r="H530" s="188"/>
      <c r="I530" s="189"/>
      <c r="J530" s="190"/>
      <c r="K530" s="190"/>
      <c r="L530" s="190"/>
      <c r="M530" s="191"/>
      <c r="N530" s="172"/>
      <c r="O530" s="172"/>
      <c r="P530" s="172"/>
      <c r="Q530" s="172"/>
    </row>
    <row r="531" spans="6:17" s="170" customFormat="1" x14ac:dyDescent="0.2">
      <c r="F531" s="187"/>
      <c r="G531" s="187"/>
      <c r="H531" s="188"/>
      <c r="I531" s="189"/>
      <c r="J531" s="190"/>
      <c r="K531" s="190"/>
      <c r="L531" s="190"/>
      <c r="M531" s="191"/>
      <c r="N531" s="172"/>
      <c r="O531" s="172"/>
      <c r="P531" s="172"/>
      <c r="Q531" s="172"/>
    </row>
    <row r="532" spans="6:17" s="170" customFormat="1" x14ac:dyDescent="0.2">
      <c r="F532" s="187"/>
      <c r="G532" s="187"/>
      <c r="H532" s="188"/>
      <c r="I532" s="189"/>
      <c r="J532" s="190"/>
      <c r="K532" s="190"/>
      <c r="L532" s="190"/>
      <c r="M532" s="191"/>
      <c r="N532" s="172"/>
      <c r="O532" s="172"/>
      <c r="P532" s="172"/>
      <c r="Q532" s="172"/>
    </row>
    <row r="533" spans="6:17" s="170" customFormat="1" x14ac:dyDescent="0.2">
      <c r="F533" s="187"/>
      <c r="G533" s="187"/>
      <c r="H533" s="188"/>
      <c r="I533" s="189"/>
      <c r="J533" s="190"/>
      <c r="K533" s="190"/>
      <c r="L533" s="190"/>
      <c r="M533" s="191"/>
      <c r="N533" s="172"/>
      <c r="O533" s="172"/>
      <c r="P533" s="172"/>
      <c r="Q533" s="172"/>
    </row>
    <row r="534" spans="6:17" s="170" customFormat="1" x14ac:dyDescent="0.2">
      <c r="F534" s="187"/>
      <c r="G534" s="187"/>
      <c r="H534" s="188"/>
      <c r="I534" s="189"/>
      <c r="J534" s="190"/>
      <c r="K534" s="190"/>
      <c r="L534" s="190"/>
      <c r="M534" s="191"/>
      <c r="N534" s="172"/>
      <c r="O534" s="172"/>
      <c r="P534" s="172"/>
      <c r="Q534" s="172"/>
    </row>
    <row r="535" spans="6:17" s="170" customFormat="1" x14ac:dyDescent="0.2">
      <c r="F535" s="187"/>
      <c r="G535" s="187"/>
      <c r="H535" s="188"/>
      <c r="I535" s="189"/>
      <c r="J535" s="190"/>
      <c r="K535" s="190"/>
      <c r="L535" s="190"/>
      <c r="M535" s="191"/>
      <c r="N535" s="172"/>
      <c r="O535" s="172"/>
      <c r="P535" s="172"/>
      <c r="Q535" s="172"/>
    </row>
    <row r="536" spans="6:17" s="170" customFormat="1" x14ac:dyDescent="0.2">
      <c r="F536" s="187"/>
      <c r="G536" s="187"/>
      <c r="H536" s="188"/>
      <c r="I536" s="189"/>
      <c r="J536" s="190"/>
      <c r="K536" s="190"/>
      <c r="L536" s="190"/>
      <c r="M536" s="191"/>
      <c r="N536" s="172"/>
      <c r="O536" s="172"/>
      <c r="P536" s="172"/>
      <c r="Q536" s="172"/>
    </row>
    <row r="537" spans="6:17" s="170" customFormat="1" x14ac:dyDescent="0.2">
      <c r="F537" s="187"/>
      <c r="G537" s="187"/>
      <c r="H537" s="188"/>
      <c r="I537" s="189"/>
      <c r="J537" s="190"/>
      <c r="K537" s="190"/>
      <c r="L537" s="190"/>
      <c r="M537" s="191"/>
      <c r="N537" s="172"/>
      <c r="O537" s="172"/>
      <c r="P537" s="172"/>
      <c r="Q537" s="172"/>
    </row>
    <row r="538" spans="6:17" s="170" customFormat="1" x14ac:dyDescent="0.2">
      <c r="F538" s="187"/>
      <c r="G538" s="187"/>
      <c r="H538" s="188"/>
      <c r="I538" s="189"/>
      <c r="J538" s="190"/>
      <c r="K538" s="190"/>
      <c r="L538" s="190"/>
      <c r="M538" s="191"/>
      <c r="N538" s="172"/>
      <c r="O538" s="172"/>
      <c r="P538" s="172"/>
      <c r="Q538" s="172"/>
    </row>
    <row r="539" spans="6:17" s="170" customFormat="1" x14ac:dyDescent="0.2">
      <c r="F539" s="187"/>
      <c r="G539" s="187"/>
      <c r="H539" s="188"/>
      <c r="I539" s="189"/>
      <c r="J539" s="190"/>
      <c r="K539" s="190"/>
      <c r="L539" s="190"/>
      <c r="M539" s="191"/>
      <c r="N539" s="172"/>
      <c r="O539" s="172"/>
      <c r="P539" s="172"/>
      <c r="Q539" s="172"/>
    </row>
    <row r="540" spans="6:17" s="170" customFormat="1" x14ac:dyDescent="0.2">
      <c r="F540" s="187"/>
      <c r="G540" s="187"/>
      <c r="H540" s="188"/>
      <c r="I540" s="189"/>
      <c r="J540" s="190"/>
      <c r="K540" s="190"/>
      <c r="L540" s="190"/>
      <c r="M540" s="191"/>
      <c r="N540" s="172"/>
      <c r="O540" s="172"/>
      <c r="P540" s="172"/>
      <c r="Q540" s="172"/>
    </row>
    <row r="541" spans="6:17" s="170" customFormat="1" x14ac:dyDescent="0.2">
      <c r="F541" s="187"/>
      <c r="G541" s="187"/>
      <c r="H541" s="188"/>
      <c r="I541" s="189"/>
      <c r="J541" s="190"/>
      <c r="K541" s="190"/>
      <c r="L541" s="190"/>
      <c r="M541" s="191"/>
      <c r="N541" s="172"/>
      <c r="O541" s="172"/>
      <c r="P541" s="172"/>
      <c r="Q541" s="172"/>
    </row>
    <row r="542" spans="6:17" s="170" customFormat="1" x14ac:dyDescent="0.2">
      <c r="F542" s="187"/>
      <c r="G542" s="187"/>
      <c r="H542" s="188"/>
      <c r="I542" s="189"/>
      <c r="J542" s="190"/>
      <c r="K542" s="190"/>
      <c r="L542" s="190"/>
      <c r="M542" s="191"/>
      <c r="N542" s="172"/>
      <c r="O542" s="172"/>
      <c r="P542" s="172"/>
      <c r="Q542" s="172"/>
    </row>
    <row r="543" spans="6:17" s="170" customFormat="1" x14ac:dyDescent="0.2">
      <c r="F543" s="187"/>
      <c r="G543" s="187"/>
      <c r="H543" s="188"/>
      <c r="I543" s="189"/>
      <c r="J543" s="190"/>
      <c r="K543" s="190"/>
      <c r="L543" s="190"/>
      <c r="M543" s="191"/>
      <c r="N543" s="172"/>
      <c r="O543" s="172"/>
      <c r="P543" s="172"/>
      <c r="Q543" s="172"/>
    </row>
    <row r="544" spans="6:17" s="170" customFormat="1" x14ac:dyDescent="0.2">
      <c r="F544" s="187"/>
      <c r="G544" s="187"/>
      <c r="H544" s="188"/>
      <c r="I544" s="189"/>
      <c r="J544" s="190"/>
      <c r="K544" s="190"/>
      <c r="L544" s="190"/>
      <c r="M544" s="191"/>
      <c r="N544" s="172"/>
      <c r="O544" s="172"/>
      <c r="P544" s="172"/>
      <c r="Q544" s="172"/>
    </row>
    <row r="545" spans="6:17" s="170" customFormat="1" x14ac:dyDescent="0.2">
      <c r="F545" s="187"/>
      <c r="G545" s="187"/>
      <c r="H545" s="188"/>
      <c r="I545" s="189"/>
      <c r="J545" s="190"/>
      <c r="K545" s="190"/>
      <c r="L545" s="190"/>
      <c r="M545" s="191"/>
      <c r="N545" s="172"/>
      <c r="O545" s="172"/>
      <c r="P545" s="172"/>
      <c r="Q545" s="172"/>
    </row>
    <row r="546" spans="6:17" s="170" customFormat="1" x14ac:dyDescent="0.2">
      <c r="F546" s="187"/>
      <c r="G546" s="187"/>
      <c r="H546" s="188"/>
      <c r="I546" s="189"/>
      <c r="J546" s="190"/>
      <c r="K546" s="190"/>
      <c r="L546" s="190"/>
      <c r="M546" s="191"/>
      <c r="N546" s="172"/>
      <c r="O546" s="172"/>
      <c r="P546" s="172"/>
      <c r="Q546" s="172"/>
    </row>
    <row r="547" spans="6:17" s="170" customFormat="1" x14ac:dyDescent="0.2">
      <c r="F547" s="187"/>
      <c r="G547" s="187"/>
      <c r="H547" s="188"/>
      <c r="I547" s="189"/>
      <c r="J547" s="190"/>
      <c r="K547" s="190"/>
      <c r="L547" s="190"/>
      <c r="M547" s="191"/>
      <c r="N547" s="172"/>
      <c r="O547" s="172"/>
      <c r="P547" s="172"/>
      <c r="Q547" s="172"/>
    </row>
    <row r="548" spans="6:17" s="170" customFormat="1" x14ac:dyDescent="0.2">
      <c r="F548" s="187"/>
      <c r="G548" s="187"/>
      <c r="H548" s="188"/>
      <c r="I548" s="189"/>
      <c r="J548" s="190"/>
      <c r="K548" s="190"/>
      <c r="L548" s="190"/>
      <c r="M548" s="191"/>
      <c r="N548" s="172"/>
      <c r="O548" s="172"/>
      <c r="P548" s="172"/>
      <c r="Q548" s="172"/>
    </row>
    <row r="549" spans="6:17" s="170" customFormat="1" x14ac:dyDescent="0.2">
      <c r="F549" s="187"/>
      <c r="G549" s="187"/>
      <c r="H549" s="188"/>
      <c r="I549" s="189"/>
      <c r="J549" s="190"/>
      <c r="K549" s="190"/>
      <c r="L549" s="190"/>
      <c r="M549" s="191"/>
      <c r="N549" s="172"/>
      <c r="O549" s="172"/>
      <c r="P549" s="172"/>
      <c r="Q549" s="172"/>
    </row>
    <row r="550" spans="6:17" s="170" customFormat="1" x14ac:dyDescent="0.2">
      <c r="F550" s="187"/>
      <c r="G550" s="187"/>
      <c r="H550" s="188"/>
      <c r="I550" s="189"/>
      <c r="J550" s="190"/>
      <c r="K550" s="190"/>
      <c r="L550" s="190"/>
      <c r="M550" s="191"/>
      <c r="N550" s="172"/>
      <c r="O550" s="172"/>
      <c r="P550" s="172"/>
      <c r="Q550" s="172"/>
    </row>
    <row r="551" spans="6:17" s="170" customFormat="1" x14ac:dyDescent="0.2">
      <c r="F551" s="187"/>
      <c r="G551" s="187"/>
      <c r="H551" s="188"/>
      <c r="I551" s="189"/>
      <c r="J551" s="190"/>
      <c r="K551" s="190"/>
      <c r="L551" s="190"/>
      <c r="M551" s="191"/>
      <c r="N551" s="172"/>
      <c r="O551" s="172"/>
      <c r="P551" s="172"/>
      <c r="Q551" s="172"/>
    </row>
    <row r="552" spans="6:17" s="170" customFormat="1" x14ac:dyDescent="0.2">
      <c r="F552" s="187"/>
      <c r="G552" s="187"/>
      <c r="H552" s="188"/>
      <c r="I552" s="189"/>
      <c r="J552" s="190"/>
      <c r="K552" s="190"/>
      <c r="L552" s="190"/>
      <c r="M552" s="191"/>
      <c r="N552" s="172"/>
      <c r="O552" s="172"/>
      <c r="P552" s="172"/>
      <c r="Q552" s="172"/>
    </row>
    <row r="553" spans="6:17" s="170" customFormat="1" x14ac:dyDescent="0.2">
      <c r="F553" s="187"/>
      <c r="G553" s="187"/>
      <c r="H553" s="188"/>
      <c r="I553" s="189"/>
      <c r="J553" s="190"/>
      <c r="K553" s="190"/>
      <c r="L553" s="190"/>
      <c r="M553" s="191"/>
      <c r="N553" s="172"/>
      <c r="O553" s="172"/>
      <c r="P553" s="172"/>
      <c r="Q553" s="172"/>
    </row>
    <row r="554" spans="6:17" s="170" customFormat="1" x14ac:dyDescent="0.2">
      <c r="F554" s="187"/>
      <c r="G554" s="187"/>
      <c r="H554" s="188"/>
      <c r="I554" s="189"/>
      <c r="J554" s="190"/>
      <c r="K554" s="190"/>
      <c r="L554" s="190"/>
      <c r="M554" s="191"/>
      <c r="N554" s="172"/>
      <c r="O554" s="172"/>
      <c r="P554" s="172"/>
      <c r="Q554" s="172"/>
    </row>
    <row r="555" spans="6:17" s="170" customFormat="1" x14ac:dyDescent="0.2">
      <c r="F555" s="187"/>
      <c r="G555" s="187"/>
      <c r="H555" s="188"/>
      <c r="I555" s="189"/>
      <c r="J555" s="190"/>
      <c r="K555" s="190"/>
      <c r="L555" s="190"/>
      <c r="M555" s="191"/>
      <c r="N555" s="172"/>
      <c r="O555" s="172"/>
      <c r="P555" s="172"/>
      <c r="Q555" s="172"/>
    </row>
    <row r="556" spans="6:17" s="170" customFormat="1" x14ac:dyDescent="0.2">
      <c r="F556" s="187"/>
      <c r="G556" s="187"/>
      <c r="H556" s="188"/>
      <c r="I556" s="189"/>
      <c r="J556" s="190"/>
      <c r="K556" s="190"/>
      <c r="L556" s="190"/>
      <c r="M556" s="191"/>
      <c r="N556" s="172"/>
      <c r="O556" s="172"/>
      <c r="P556" s="172"/>
      <c r="Q556" s="172"/>
    </row>
    <row r="557" spans="6:17" s="170" customFormat="1" x14ac:dyDescent="0.2">
      <c r="F557" s="187"/>
      <c r="G557" s="187"/>
      <c r="H557" s="188"/>
      <c r="I557" s="189"/>
      <c r="J557" s="190"/>
      <c r="K557" s="190"/>
      <c r="L557" s="190"/>
      <c r="M557" s="191"/>
      <c r="N557" s="172"/>
      <c r="O557" s="172"/>
      <c r="P557" s="172"/>
      <c r="Q557" s="172"/>
    </row>
    <row r="558" spans="6:17" s="170" customFormat="1" x14ac:dyDescent="0.2">
      <c r="F558" s="187"/>
      <c r="G558" s="187"/>
      <c r="H558" s="188"/>
      <c r="I558" s="189"/>
      <c r="J558" s="190"/>
      <c r="K558" s="190"/>
      <c r="L558" s="190"/>
      <c r="M558" s="191"/>
      <c r="N558" s="172"/>
      <c r="O558" s="172"/>
      <c r="P558" s="172"/>
      <c r="Q558" s="172"/>
    </row>
    <row r="559" spans="6:17" s="170" customFormat="1" x14ac:dyDescent="0.2">
      <c r="F559" s="187"/>
      <c r="G559" s="187"/>
      <c r="H559" s="188"/>
      <c r="I559" s="189"/>
      <c r="J559" s="190"/>
      <c r="K559" s="190"/>
      <c r="L559" s="190"/>
      <c r="M559" s="191"/>
      <c r="N559" s="172"/>
      <c r="O559" s="172"/>
      <c r="P559" s="172"/>
      <c r="Q559" s="172"/>
    </row>
    <row r="560" spans="6:17" s="170" customFormat="1" x14ac:dyDescent="0.2">
      <c r="F560" s="187"/>
      <c r="G560" s="187"/>
      <c r="H560" s="188"/>
      <c r="I560" s="189"/>
      <c r="J560" s="190"/>
      <c r="K560" s="190"/>
      <c r="L560" s="190"/>
      <c r="M560" s="191"/>
      <c r="N560" s="172"/>
      <c r="O560" s="172"/>
      <c r="P560" s="172"/>
      <c r="Q560" s="172"/>
    </row>
    <row r="561" spans="6:17" s="170" customFormat="1" x14ac:dyDescent="0.2">
      <c r="F561" s="187"/>
      <c r="G561" s="187"/>
      <c r="H561" s="188"/>
      <c r="I561" s="189"/>
      <c r="J561" s="190"/>
      <c r="K561" s="190"/>
      <c r="L561" s="190"/>
      <c r="M561" s="191"/>
      <c r="N561" s="172"/>
      <c r="O561" s="172"/>
      <c r="P561" s="172"/>
      <c r="Q561" s="172"/>
    </row>
    <row r="562" spans="6:17" s="170" customFormat="1" x14ac:dyDescent="0.2">
      <c r="F562" s="187"/>
      <c r="G562" s="187"/>
      <c r="H562" s="188"/>
      <c r="I562" s="189"/>
      <c r="J562" s="190"/>
      <c r="K562" s="190"/>
      <c r="L562" s="190"/>
      <c r="M562" s="191"/>
      <c r="N562" s="172"/>
      <c r="O562" s="172"/>
      <c r="P562" s="172"/>
      <c r="Q562" s="172"/>
    </row>
    <row r="563" spans="6:17" s="170" customFormat="1" x14ac:dyDescent="0.2">
      <c r="F563" s="187"/>
      <c r="G563" s="187"/>
      <c r="H563" s="188"/>
      <c r="I563" s="189"/>
      <c r="J563" s="190"/>
      <c r="K563" s="190"/>
      <c r="L563" s="190"/>
      <c r="M563" s="191"/>
      <c r="N563" s="172"/>
      <c r="O563" s="172"/>
      <c r="P563" s="172"/>
      <c r="Q563" s="172"/>
    </row>
    <row r="564" spans="6:17" s="170" customFormat="1" x14ac:dyDescent="0.2">
      <c r="F564" s="187"/>
      <c r="G564" s="187"/>
      <c r="H564" s="188"/>
      <c r="I564" s="189"/>
      <c r="J564" s="190"/>
      <c r="K564" s="190"/>
      <c r="L564" s="190"/>
      <c r="M564" s="191"/>
      <c r="N564" s="172"/>
      <c r="O564" s="172"/>
      <c r="P564" s="172"/>
      <c r="Q564" s="172"/>
    </row>
    <row r="565" spans="6:17" s="170" customFormat="1" x14ac:dyDescent="0.2">
      <c r="F565" s="187"/>
      <c r="G565" s="187"/>
      <c r="H565" s="188"/>
      <c r="I565" s="189"/>
      <c r="J565" s="190"/>
      <c r="K565" s="190"/>
      <c r="L565" s="190"/>
      <c r="M565" s="191"/>
      <c r="N565" s="172"/>
      <c r="O565" s="172"/>
      <c r="P565" s="172"/>
      <c r="Q565" s="172"/>
    </row>
    <row r="566" spans="6:17" s="170" customFormat="1" x14ac:dyDescent="0.2">
      <c r="F566" s="187"/>
      <c r="G566" s="187"/>
      <c r="H566" s="188"/>
      <c r="I566" s="189"/>
      <c r="J566" s="190"/>
      <c r="K566" s="190"/>
      <c r="L566" s="190"/>
      <c r="M566" s="191"/>
      <c r="N566" s="172"/>
      <c r="O566" s="172"/>
      <c r="P566" s="172"/>
      <c r="Q566" s="172"/>
    </row>
    <row r="567" spans="6:17" s="170" customFormat="1" x14ac:dyDescent="0.2">
      <c r="F567" s="187"/>
      <c r="G567" s="187"/>
      <c r="H567" s="188"/>
      <c r="I567" s="189"/>
      <c r="J567" s="190"/>
      <c r="K567" s="190"/>
      <c r="L567" s="190"/>
      <c r="M567" s="191"/>
      <c r="N567" s="172"/>
      <c r="O567" s="172"/>
      <c r="P567" s="172"/>
      <c r="Q567" s="172"/>
    </row>
    <row r="568" spans="6:17" s="170" customFormat="1" x14ac:dyDescent="0.2">
      <c r="F568" s="187"/>
      <c r="G568" s="187"/>
      <c r="H568" s="188"/>
      <c r="I568" s="189"/>
      <c r="J568" s="190"/>
      <c r="K568" s="190"/>
      <c r="L568" s="190"/>
      <c r="M568" s="191"/>
      <c r="N568" s="172"/>
      <c r="O568" s="172"/>
      <c r="P568" s="172"/>
      <c r="Q568" s="172"/>
    </row>
    <row r="569" spans="6:17" s="170" customFormat="1" x14ac:dyDescent="0.2">
      <c r="F569" s="187"/>
      <c r="G569" s="187"/>
      <c r="H569" s="188"/>
      <c r="I569" s="189"/>
      <c r="J569" s="190"/>
      <c r="K569" s="190"/>
      <c r="L569" s="190"/>
      <c r="M569" s="191"/>
      <c r="N569" s="172"/>
      <c r="O569" s="172"/>
      <c r="P569" s="172"/>
      <c r="Q569" s="172"/>
    </row>
    <row r="570" spans="6:17" s="170" customFormat="1" x14ac:dyDescent="0.2">
      <c r="F570" s="187"/>
      <c r="G570" s="187"/>
      <c r="H570" s="188"/>
      <c r="I570" s="189"/>
      <c r="J570" s="190"/>
      <c r="K570" s="190"/>
      <c r="L570" s="190"/>
      <c r="M570" s="191"/>
      <c r="N570" s="172"/>
      <c r="O570" s="172"/>
      <c r="P570" s="172"/>
      <c r="Q570" s="172"/>
    </row>
    <row r="571" spans="6:17" s="170" customFormat="1" x14ac:dyDescent="0.2">
      <c r="F571" s="187"/>
      <c r="G571" s="187"/>
      <c r="H571" s="188"/>
      <c r="I571" s="189"/>
      <c r="J571" s="190"/>
      <c r="K571" s="190"/>
      <c r="L571" s="190"/>
      <c r="M571" s="191"/>
      <c r="N571" s="172"/>
      <c r="O571" s="172"/>
      <c r="P571" s="172"/>
      <c r="Q571" s="172"/>
    </row>
    <row r="572" spans="6:17" s="170" customFormat="1" x14ac:dyDescent="0.2">
      <c r="F572" s="187"/>
      <c r="G572" s="187"/>
      <c r="H572" s="188"/>
      <c r="I572" s="189"/>
      <c r="J572" s="190"/>
      <c r="K572" s="190"/>
      <c r="L572" s="190"/>
      <c r="M572" s="191"/>
      <c r="N572" s="172"/>
      <c r="O572" s="172"/>
      <c r="P572" s="172"/>
      <c r="Q572" s="172"/>
    </row>
    <row r="573" spans="6:17" s="170" customFormat="1" x14ac:dyDescent="0.2">
      <c r="F573" s="187"/>
      <c r="G573" s="187"/>
      <c r="H573" s="188"/>
      <c r="I573" s="189"/>
      <c r="J573" s="190"/>
      <c r="K573" s="190"/>
      <c r="L573" s="190"/>
      <c r="M573" s="191"/>
      <c r="N573" s="172"/>
      <c r="O573" s="172"/>
      <c r="P573" s="172"/>
      <c r="Q573" s="172"/>
    </row>
    <row r="574" spans="6:17" s="170" customFormat="1" x14ac:dyDescent="0.2">
      <c r="F574" s="187"/>
      <c r="G574" s="187"/>
      <c r="H574" s="188"/>
      <c r="I574" s="189"/>
      <c r="J574" s="190"/>
      <c r="K574" s="190"/>
      <c r="L574" s="190"/>
      <c r="M574" s="191"/>
      <c r="N574" s="172"/>
      <c r="O574" s="172"/>
      <c r="P574" s="172"/>
      <c r="Q574" s="172"/>
    </row>
    <row r="575" spans="6:17" s="170" customFormat="1" x14ac:dyDescent="0.2">
      <c r="F575" s="187"/>
      <c r="G575" s="187"/>
      <c r="H575" s="188"/>
      <c r="I575" s="189"/>
      <c r="J575" s="190"/>
      <c r="K575" s="190"/>
      <c r="L575" s="190"/>
      <c r="M575" s="191"/>
      <c r="N575" s="172"/>
      <c r="O575" s="172"/>
      <c r="P575" s="172"/>
      <c r="Q575" s="172"/>
    </row>
    <row r="576" spans="6:17" s="170" customFormat="1" x14ac:dyDescent="0.2">
      <c r="F576" s="187"/>
      <c r="G576" s="187"/>
      <c r="H576" s="188"/>
      <c r="I576" s="189"/>
      <c r="J576" s="190"/>
      <c r="K576" s="190"/>
      <c r="L576" s="190"/>
      <c r="M576" s="191"/>
      <c r="N576" s="172"/>
      <c r="O576" s="172"/>
      <c r="P576" s="172"/>
      <c r="Q576" s="172"/>
    </row>
    <row r="577" spans="6:17" s="170" customFormat="1" x14ac:dyDescent="0.2">
      <c r="F577" s="187"/>
      <c r="G577" s="187"/>
      <c r="H577" s="188"/>
      <c r="I577" s="189"/>
      <c r="J577" s="190"/>
      <c r="K577" s="190"/>
      <c r="L577" s="190"/>
      <c r="M577" s="191"/>
      <c r="N577" s="172"/>
      <c r="O577" s="172"/>
      <c r="P577" s="172"/>
      <c r="Q577" s="172"/>
    </row>
    <row r="578" spans="6:17" s="170" customFormat="1" x14ac:dyDescent="0.2">
      <c r="F578" s="187"/>
      <c r="G578" s="187"/>
      <c r="H578" s="188"/>
      <c r="I578" s="189"/>
      <c r="J578" s="190"/>
      <c r="K578" s="190"/>
      <c r="L578" s="190"/>
      <c r="M578" s="191"/>
      <c r="N578" s="172"/>
      <c r="O578" s="172"/>
      <c r="P578" s="172"/>
      <c r="Q578" s="172"/>
    </row>
    <row r="579" spans="6:17" s="170" customFormat="1" x14ac:dyDescent="0.2">
      <c r="F579" s="187"/>
      <c r="G579" s="187"/>
      <c r="H579" s="188"/>
      <c r="I579" s="189"/>
      <c r="J579" s="190"/>
      <c r="K579" s="190"/>
      <c r="L579" s="190"/>
      <c r="M579" s="191"/>
      <c r="N579" s="172"/>
      <c r="O579" s="172"/>
      <c r="P579" s="172"/>
      <c r="Q579" s="172"/>
    </row>
    <row r="580" spans="6:17" s="170" customFormat="1" x14ac:dyDescent="0.2">
      <c r="F580" s="187"/>
      <c r="G580" s="187"/>
      <c r="H580" s="188"/>
      <c r="I580" s="189"/>
      <c r="J580" s="190"/>
      <c r="K580" s="190"/>
      <c r="L580" s="190"/>
      <c r="M580" s="191"/>
      <c r="N580" s="172"/>
      <c r="O580" s="172"/>
      <c r="P580" s="172"/>
      <c r="Q580" s="172"/>
    </row>
    <row r="581" spans="6:17" s="170" customFormat="1" x14ac:dyDescent="0.2">
      <c r="F581" s="187"/>
      <c r="G581" s="187"/>
      <c r="H581" s="188"/>
      <c r="I581" s="189"/>
      <c r="J581" s="190"/>
      <c r="K581" s="190"/>
      <c r="L581" s="190"/>
      <c r="M581" s="191"/>
      <c r="N581" s="172"/>
      <c r="O581" s="172"/>
      <c r="P581" s="172"/>
      <c r="Q581" s="172"/>
    </row>
    <row r="582" spans="6:17" s="170" customFormat="1" x14ac:dyDescent="0.2">
      <c r="F582" s="187"/>
      <c r="G582" s="187"/>
      <c r="H582" s="188"/>
      <c r="I582" s="189"/>
      <c r="J582" s="190"/>
      <c r="K582" s="190"/>
      <c r="L582" s="190"/>
      <c r="M582" s="191"/>
      <c r="N582" s="172"/>
      <c r="O582" s="172"/>
      <c r="P582" s="172"/>
      <c r="Q582" s="172"/>
    </row>
    <row r="583" spans="6:17" s="170" customFormat="1" x14ac:dyDescent="0.2">
      <c r="F583" s="187"/>
      <c r="G583" s="187"/>
      <c r="H583" s="188"/>
      <c r="I583" s="189"/>
      <c r="J583" s="190"/>
      <c r="K583" s="190"/>
      <c r="L583" s="190"/>
      <c r="M583" s="191"/>
      <c r="N583" s="172"/>
      <c r="O583" s="172"/>
      <c r="P583" s="172"/>
      <c r="Q583" s="172"/>
    </row>
    <row r="584" spans="6:17" s="170" customFormat="1" x14ac:dyDescent="0.2">
      <c r="F584" s="187"/>
      <c r="G584" s="187"/>
      <c r="H584" s="188"/>
      <c r="I584" s="189"/>
      <c r="J584" s="190"/>
      <c r="K584" s="190"/>
      <c r="L584" s="190"/>
      <c r="M584" s="191"/>
      <c r="N584" s="172"/>
      <c r="O584" s="172"/>
      <c r="P584" s="172"/>
      <c r="Q584" s="172"/>
    </row>
    <row r="585" spans="6:17" s="170" customFormat="1" x14ac:dyDescent="0.2">
      <c r="F585" s="187"/>
      <c r="G585" s="187"/>
      <c r="H585" s="188"/>
      <c r="I585" s="189"/>
      <c r="J585" s="190"/>
      <c r="K585" s="190"/>
      <c r="L585" s="190"/>
      <c r="M585" s="191"/>
      <c r="N585" s="172"/>
      <c r="O585" s="172"/>
      <c r="P585" s="172"/>
      <c r="Q585" s="172"/>
    </row>
    <row r="586" spans="6:17" s="170" customFormat="1" x14ac:dyDescent="0.2">
      <c r="F586" s="187"/>
      <c r="G586" s="187"/>
      <c r="H586" s="188"/>
      <c r="I586" s="189"/>
      <c r="J586" s="190"/>
      <c r="K586" s="190"/>
      <c r="L586" s="190"/>
      <c r="M586" s="191"/>
      <c r="N586" s="172"/>
      <c r="O586" s="172"/>
      <c r="P586" s="172"/>
      <c r="Q586" s="172"/>
    </row>
    <row r="587" spans="6:17" s="170" customFormat="1" x14ac:dyDescent="0.2">
      <c r="F587" s="187"/>
      <c r="G587" s="187"/>
      <c r="H587" s="188"/>
      <c r="I587" s="189"/>
      <c r="J587" s="190"/>
      <c r="K587" s="190"/>
      <c r="L587" s="190"/>
      <c r="M587" s="191"/>
      <c r="N587" s="172"/>
      <c r="O587" s="172"/>
      <c r="P587" s="172"/>
      <c r="Q587" s="172"/>
    </row>
    <row r="588" spans="6:17" s="170" customFormat="1" x14ac:dyDescent="0.2">
      <c r="F588" s="187"/>
      <c r="G588" s="187"/>
      <c r="H588" s="188"/>
      <c r="I588" s="189"/>
      <c r="J588" s="190"/>
      <c r="K588" s="190"/>
      <c r="L588" s="190"/>
      <c r="M588" s="191"/>
      <c r="N588" s="172"/>
      <c r="O588" s="172"/>
      <c r="P588" s="172"/>
      <c r="Q588" s="172"/>
    </row>
    <row r="589" spans="6:17" s="170" customFormat="1" x14ac:dyDescent="0.2">
      <c r="F589" s="187"/>
      <c r="G589" s="187"/>
      <c r="H589" s="188"/>
      <c r="I589" s="189"/>
      <c r="J589" s="190"/>
      <c r="K589" s="190"/>
      <c r="L589" s="190"/>
      <c r="M589" s="191"/>
      <c r="N589" s="172"/>
      <c r="O589" s="172"/>
      <c r="P589" s="172"/>
      <c r="Q589" s="172"/>
    </row>
    <row r="590" spans="6:17" s="170" customFormat="1" x14ac:dyDescent="0.2">
      <c r="F590" s="187"/>
      <c r="G590" s="187"/>
      <c r="H590" s="188"/>
      <c r="I590" s="189"/>
      <c r="J590" s="190"/>
      <c r="K590" s="190"/>
      <c r="L590" s="190"/>
      <c r="M590" s="191"/>
      <c r="N590" s="172"/>
      <c r="O590" s="172"/>
      <c r="P590" s="172"/>
      <c r="Q590" s="172"/>
    </row>
    <row r="591" spans="6:17" s="170" customFormat="1" x14ac:dyDescent="0.2">
      <c r="F591" s="187"/>
      <c r="G591" s="187"/>
      <c r="H591" s="188"/>
      <c r="I591" s="189"/>
      <c r="J591" s="190"/>
      <c r="K591" s="190"/>
      <c r="L591" s="190"/>
      <c r="M591" s="191"/>
      <c r="N591" s="172"/>
      <c r="O591" s="172"/>
      <c r="P591" s="172"/>
      <c r="Q591" s="172"/>
    </row>
    <row r="592" spans="6:17" s="170" customFormat="1" x14ac:dyDescent="0.2">
      <c r="F592" s="187"/>
      <c r="G592" s="187"/>
      <c r="H592" s="188"/>
      <c r="I592" s="189"/>
      <c r="J592" s="190"/>
      <c r="K592" s="190"/>
      <c r="L592" s="190"/>
      <c r="M592" s="191"/>
      <c r="N592" s="172"/>
      <c r="O592" s="172"/>
      <c r="P592" s="172"/>
      <c r="Q592" s="172"/>
    </row>
    <row r="593" spans="6:17" s="170" customFormat="1" x14ac:dyDescent="0.2">
      <c r="F593" s="187"/>
      <c r="G593" s="187"/>
      <c r="H593" s="188"/>
      <c r="I593" s="189"/>
      <c r="J593" s="190"/>
      <c r="K593" s="190"/>
      <c r="L593" s="190"/>
      <c r="M593" s="191"/>
      <c r="N593" s="172"/>
      <c r="O593" s="172"/>
      <c r="P593" s="172"/>
      <c r="Q593" s="172"/>
    </row>
    <row r="594" spans="6:17" s="170" customFormat="1" x14ac:dyDescent="0.2">
      <c r="F594" s="187"/>
      <c r="G594" s="187"/>
      <c r="H594" s="188"/>
      <c r="I594" s="189"/>
      <c r="J594" s="190"/>
      <c r="K594" s="190"/>
      <c r="L594" s="190"/>
      <c r="M594" s="191"/>
      <c r="N594" s="172"/>
      <c r="O594" s="172"/>
      <c r="P594" s="172"/>
      <c r="Q594" s="172"/>
    </row>
    <row r="595" spans="6:17" s="170" customFormat="1" x14ac:dyDescent="0.2">
      <c r="F595" s="187"/>
      <c r="G595" s="187"/>
      <c r="H595" s="188"/>
      <c r="I595" s="189"/>
      <c r="J595" s="190"/>
      <c r="K595" s="190"/>
      <c r="L595" s="190"/>
      <c r="M595" s="191"/>
      <c r="N595" s="172"/>
      <c r="O595" s="172"/>
      <c r="P595" s="172"/>
      <c r="Q595" s="172"/>
    </row>
    <row r="596" spans="6:17" s="170" customFormat="1" x14ac:dyDescent="0.2">
      <c r="F596" s="187"/>
      <c r="G596" s="187"/>
      <c r="H596" s="188"/>
      <c r="I596" s="189"/>
      <c r="J596" s="190"/>
      <c r="K596" s="190"/>
      <c r="L596" s="190"/>
      <c r="M596" s="191"/>
      <c r="N596" s="172"/>
      <c r="O596" s="172"/>
      <c r="P596" s="172"/>
      <c r="Q596" s="172"/>
    </row>
    <row r="597" spans="6:17" s="170" customFormat="1" x14ac:dyDescent="0.2">
      <c r="F597" s="187"/>
      <c r="G597" s="187"/>
      <c r="H597" s="188"/>
      <c r="I597" s="189"/>
      <c r="J597" s="190"/>
      <c r="K597" s="190"/>
      <c r="L597" s="190"/>
      <c r="M597" s="191"/>
      <c r="N597" s="172"/>
      <c r="O597" s="172"/>
      <c r="P597" s="172"/>
      <c r="Q597" s="172"/>
    </row>
    <row r="598" spans="6:17" s="170" customFormat="1" x14ac:dyDescent="0.2">
      <c r="F598" s="187"/>
      <c r="G598" s="187"/>
      <c r="H598" s="188"/>
      <c r="I598" s="189"/>
      <c r="J598" s="190"/>
      <c r="K598" s="190"/>
      <c r="L598" s="190"/>
      <c r="M598" s="191"/>
      <c r="N598" s="172"/>
      <c r="O598" s="172"/>
      <c r="P598" s="172"/>
      <c r="Q598" s="172"/>
    </row>
    <row r="599" spans="6:17" s="170" customFormat="1" x14ac:dyDescent="0.2">
      <c r="F599" s="187"/>
      <c r="G599" s="187"/>
      <c r="H599" s="188"/>
      <c r="I599" s="189"/>
      <c r="J599" s="190"/>
      <c r="K599" s="190"/>
      <c r="L599" s="190"/>
      <c r="M599" s="191"/>
      <c r="N599" s="172"/>
      <c r="O599" s="172"/>
      <c r="P599" s="172"/>
      <c r="Q599" s="172"/>
    </row>
    <row r="600" spans="6:17" s="170" customFormat="1" x14ac:dyDescent="0.2">
      <c r="F600" s="187"/>
      <c r="G600" s="187"/>
      <c r="H600" s="188"/>
      <c r="I600" s="189"/>
      <c r="J600" s="190"/>
      <c r="K600" s="190"/>
      <c r="L600" s="190"/>
      <c r="M600" s="191"/>
      <c r="N600" s="172"/>
      <c r="O600" s="172"/>
      <c r="P600" s="172"/>
      <c r="Q600" s="172"/>
    </row>
    <row r="601" spans="6:17" s="170" customFormat="1" x14ac:dyDescent="0.2">
      <c r="F601" s="187"/>
      <c r="G601" s="187"/>
      <c r="H601" s="188"/>
      <c r="I601" s="189"/>
      <c r="J601" s="190"/>
      <c r="K601" s="190"/>
      <c r="L601" s="190"/>
      <c r="M601" s="191"/>
      <c r="N601" s="172"/>
      <c r="O601" s="172"/>
      <c r="P601" s="172"/>
      <c r="Q601" s="172"/>
    </row>
    <row r="602" spans="6:17" s="170" customFormat="1" x14ac:dyDescent="0.2">
      <c r="F602" s="187"/>
      <c r="G602" s="187"/>
      <c r="H602" s="188"/>
      <c r="I602" s="189"/>
      <c r="J602" s="190"/>
      <c r="K602" s="190"/>
      <c r="L602" s="190"/>
      <c r="M602" s="191"/>
      <c r="N602" s="172"/>
      <c r="O602" s="172"/>
      <c r="P602" s="172"/>
      <c r="Q602" s="172"/>
    </row>
    <row r="603" spans="6:17" s="170" customFormat="1" x14ac:dyDescent="0.2">
      <c r="F603" s="187"/>
      <c r="G603" s="187"/>
      <c r="H603" s="188"/>
      <c r="I603" s="189"/>
      <c r="J603" s="190"/>
      <c r="K603" s="190"/>
      <c r="L603" s="190"/>
      <c r="M603" s="191"/>
      <c r="N603" s="172"/>
      <c r="O603" s="172"/>
      <c r="P603" s="172"/>
      <c r="Q603" s="172"/>
    </row>
    <row r="604" spans="6:17" s="170" customFormat="1" x14ac:dyDescent="0.2">
      <c r="F604" s="187"/>
      <c r="G604" s="187"/>
      <c r="H604" s="188"/>
      <c r="I604" s="189"/>
      <c r="J604" s="190"/>
      <c r="K604" s="190"/>
      <c r="L604" s="190"/>
      <c r="M604" s="191"/>
      <c r="N604" s="172"/>
      <c r="O604" s="172"/>
      <c r="P604" s="172"/>
      <c r="Q604" s="172"/>
    </row>
    <row r="605" spans="6:17" s="170" customFormat="1" x14ac:dyDescent="0.2">
      <c r="F605" s="187"/>
      <c r="G605" s="187"/>
      <c r="H605" s="188"/>
      <c r="I605" s="189"/>
      <c r="J605" s="190"/>
      <c r="K605" s="190"/>
      <c r="L605" s="190"/>
      <c r="M605" s="191"/>
      <c r="N605" s="172"/>
      <c r="O605" s="172"/>
      <c r="P605" s="172"/>
      <c r="Q605" s="172"/>
    </row>
    <row r="606" spans="6:17" s="170" customFormat="1" x14ac:dyDescent="0.2">
      <c r="F606" s="187"/>
      <c r="G606" s="187"/>
      <c r="H606" s="188"/>
      <c r="I606" s="189"/>
      <c r="J606" s="190"/>
      <c r="K606" s="190"/>
      <c r="L606" s="190"/>
      <c r="M606" s="191"/>
      <c r="N606" s="172"/>
      <c r="O606" s="172"/>
      <c r="P606" s="172"/>
      <c r="Q606" s="172"/>
    </row>
    <row r="607" spans="6:17" s="170" customFormat="1" x14ac:dyDescent="0.2">
      <c r="F607" s="187"/>
      <c r="G607" s="187"/>
      <c r="H607" s="188"/>
      <c r="I607" s="189"/>
      <c r="J607" s="190"/>
      <c r="K607" s="190"/>
      <c r="L607" s="190"/>
      <c r="M607" s="191"/>
      <c r="N607" s="172"/>
      <c r="O607" s="172"/>
      <c r="P607" s="172"/>
      <c r="Q607" s="172"/>
    </row>
    <row r="608" spans="6:17" s="170" customFormat="1" x14ac:dyDescent="0.2">
      <c r="F608" s="187"/>
      <c r="G608" s="187"/>
      <c r="H608" s="188"/>
      <c r="I608" s="189"/>
      <c r="J608" s="190"/>
      <c r="K608" s="190"/>
      <c r="L608" s="190"/>
      <c r="M608" s="191"/>
      <c r="N608" s="172"/>
      <c r="O608" s="172"/>
      <c r="P608" s="172"/>
      <c r="Q608" s="172"/>
    </row>
    <row r="609" spans="6:17" s="170" customFormat="1" x14ac:dyDescent="0.2">
      <c r="F609" s="187"/>
      <c r="G609" s="187"/>
      <c r="H609" s="188"/>
      <c r="I609" s="189"/>
      <c r="J609" s="190"/>
      <c r="K609" s="190"/>
      <c r="L609" s="190"/>
      <c r="M609" s="191"/>
      <c r="N609" s="172"/>
      <c r="O609" s="172"/>
      <c r="P609" s="172"/>
      <c r="Q609" s="172"/>
    </row>
    <row r="610" spans="6:17" s="170" customFormat="1" x14ac:dyDescent="0.2">
      <c r="F610" s="187"/>
      <c r="G610" s="187"/>
      <c r="H610" s="188"/>
      <c r="I610" s="189"/>
      <c r="J610" s="190"/>
      <c r="K610" s="190"/>
      <c r="L610" s="190"/>
      <c r="M610" s="191"/>
      <c r="N610" s="172"/>
      <c r="O610" s="172"/>
      <c r="P610" s="172"/>
      <c r="Q610" s="172"/>
    </row>
    <row r="611" spans="6:17" s="170" customFormat="1" x14ac:dyDescent="0.2">
      <c r="F611" s="187"/>
      <c r="G611" s="187"/>
      <c r="H611" s="188"/>
      <c r="I611" s="189"/>
      <c r="J611" s="190"/>
      <c r="K611" s="190"/>
      <c r="L611" s="190"/>
      <c r="M611" s="191"/>
      <c r="N611" s="172"/>
      <c r="O611" s="172"/>
      <c r="P611" s="172"/>
      <c r="Q611" s="172"/>
    </row>
    <row r="612" spans="6:17" s="170" customFormat="1" x14ac:dyDescent="0.2">
      <c r="F612" s="187"/>
      <c r="G612" s="187"/>
      <c r="H612" s="188"/>
      <c r="I612" s="189"/>
      <c r="J612" s="190"/>
      <c r="K612" s="190"/>
      <c r="L612" s="190"/>
      <c r="M612" s="191"/>
      <c r="N612" s="172"/>
      <c r="O612" s="172"/>
      <c r="P612" s="172"/>
      <c r="Q612" s="172"/>
    </row>
    <row r="613" spans="6:17" s="170" customFormat="1" x14ac:dyDescent="0.2">
      <c r="F613" s="187"/>
      <c r="G613" s="187"/>
      <c r="H613" s="188"/>
      <c r="I613" s="189"/>
      <c r="J613" s="190"/>
      <c r="K613" s="190"/>
      <c r="L613" s="190"/>
      <c r="M613" s="191"/>
      <c r="N613" s="172"/>
      <c r="O613" s="172"/>
      <c r="P613" s="172"/>
      <c r="Q613" s="172"/>
    </row>
    <row r="614" spans="6:17" s="170" customFormat="1" x14ac:dyDescent="0.2">
      <c r="F614" s="187"/>
      <c r="G614" s="187"/>
      <c r="H614" s="188"/>
      <c r="I614" s="189"/>
      <c r="J614" s="190"/>
      <c r="K614" s="190"/>
      <c r="L614" s="190"/>
      <c r="M614" s="191"/>
      <c r="N614" s="172"/>
      <c r="O614" s="172"/>
      <c r="P614" s="172"/>
      <c r="Q614" s="172"/>
    </row>
    <row r="615" spans="6:17" s="170" customFormat="1" x14ac:dyDescent="0.2">
      <c r="F615" s="187"/>
      <c r="G615" s="187"/>
      <c r="H615" s="188"/>
      <c r="I615" s="189"/>
      <c r="J615" s="190"/>
      <c r="K615" s="190"/>
      <c r="L615" s="190"/>
      <c r="M615" s="191"/>
      <c r="N615" s="172"/>
      <c r="O615" s="172"/>
      <c r="P615" s="172"/>
      <c r="Q615" s="172"/>
    </row>
    <row r="616" spans="6:17" s="170" customFormat="1" x14ac:dyDescent="0.2">
      <c r="F616" s="187"/>
      <c r="G616" s="187"/>
      <c r="H616" s="188"/>
      <c r="I616" s="189"/>
      <c r="J616" s="190"/>
      <c r="K616" s="190"/>
      <c r="L616" s="190"/>
      <c r="M616" s="191"/>
      <c r="N616" s="172"/>
      <c r="O616" s="172"/>
      <c r="P616" s="172"/>
      <c r="Q616" s="172"/>
    </row>
    <row r="617" spans="6:17" s="170" customFormat="1" x14ac:dyDescent="0.2">
      <c r="F617" s="187"/>
      <c r="G617" s="187"/>
      <c r="H617" s="188"/>
      <c r="I617" s="189"/>
      <c r="J617" s="190"/>
      <c r="K617" s="190"/>
      <c r="L617" s="190"/>
      <c r="M617" s="191"/>
      <c r="N617" s="172"/>
      <c r="O617" s="172"/>
      <c r="P617" s="172"/>
      <c r="Q617" s="172"/>
    </row>
    <row r="618" spans="6:17" s="170" customFormat="1" x14ac:dyDescent="0.2">
      <c r="F618" s="187"/>
      <c r="G618" s="187"/>
      <c r="H618" s="188"/>
      <c r="I618" s="189"/>
      <c r="J618" s="190"/>
      <c r="K618" s="190"/>
      <c r="L618" s="190"/>
      <c r="M618" s="191"/>
      <c r="N618" s="172"/>
      <c r="O618" s="172"/>
      <c r="P618" s="172"/>
      <c r="Q618" s="172"/>
    </row>
    <row r="619" spans="6:17" s="170" customFormat="1" x14ac:dyDescent="0.2">
      <c r="F619" s="187"/>
      <c r="G619" s="187"/>
      <c r="H619" s="188"/>
      <c r="I619" s="189"/>
      <c r="J619" s="190"/>
      <c r="K619" s="190"/>
      <c r="L619" s="190"/>
      <c r="M619" s="191"/>
      <c r="N619" s="172"/>
      <c r="O619" s="172"/>
      <c r="P619" s="172"/>
      <c r="Q619" s="172"/>
    </row>
    <row r="620" spans="6:17" s="170" customFormat="1" x14ac:dyDescent="0.2">
      <c r="F620" s="187"/>
      <c r="G620" s="187"/>
      <c r="H620" s="188"/>
      <c r="I620" s="189"/>
      <c r="J620" s="190"/>
      <c r="K620" s="190"/>
      <c r="L620" s="190"/>
      <c r="M620" s="191"/>
      <c r="N620" s="172"/>
      <c r="O620" s="172"/>
      <c r="P620" s="172"/>
      <c r="Q620" s="172"/>
    </row>
    <row r="621" spans="6:17" s="170" customFormat="1" x14ac:dyDescent="0.2">
      <c r="F621" s="187"/>
      <c r="G621" s="187"/>
      <c r="H621" s="188"/>
      <c r="I621" s="189"/>
      <c r="J621" s="190"/>
      <c r="K621" s="190"/>
      <c r="L621" s="190"/>
      <c r="M621" s="191"/>
      <c r="N621" s="172"/>
      <c r="O621" s="172"/>
      <c r="P621" s="172"/>
      <c r="Q621" s="172"/>
    </row>
    <row r="622" spans="6:17" s="170" customFormat="1" x14ac:dyDescent="0.2">
      <c r="F622" s="187"/>
      <c r="G622" s="187"/>
      <c r="H622" s="188"/>
      <c r="I622" s="189"/>
      <c r="J622" s="190"/>
      <c r="K622" s="190"/>
      <c r="L622" s="190"/>
      <c r="M622" s="191"/>
      <c r="N622" s="172"/>
      <c r="O622" s="172"/>
      <c r="P622" s="172"/>
      <c r="Q622" s="172"/>
    </row>
    <row r="623" spans="6:17" s="170" customFormat="1" x14ac:dyDescent="0.2">
      <c r="F623" s="187"/>
      <c r="G623" s="187"/>
      <c r="H623" s="188"/>
      <c r="I623" s="189"/>
      <c r="J623" s="190"/>
      <c r="K623" s="190"/>
      <c r="L623" s="190"/>
      <c r="M623" s="191"/>
      <c r="N623" s="172"/>
      <c r="O623" s="172"/>
      <c r="P623" s="172"/>
      <c r="Q623" s="172"/>
    </row>
    <row r="624" spans="6:17" s="170" customFormat="1" x14ac:dyDescent="0.2">
      <c r="F624" s="187"/>
      <c r="G624" s="187"/>
      <c r="H624" s="188"/>
      <c r="I624" s="189"/>
      <c r="J624" s="190"/>
      <c r="K624" s="190"/>
      <c r="L624" s="190"/>
      <c r="M624" s="191"/>
      <c r="N624" s="172"/>
      <c r="O624" s="172"/>
      <c r="P624" s="172"/>
      <c r="Q624" s="172"/>
    </row>
    <row r="625" spans="6:17" s="170" customFormat="1" x14ac:dyDescent="0.2">
      <c r="F625" s="187"/>
      <c r="G625" s="187"/>
      <c r="H625" s="188"/>
      <c r="I625" s="189"/>
      <c r="J625" s="190"/>
      <c r="K625" s="190"/>
      <c r="L625" s="190"/>
      <c r="M625" s="191"/>
      <c r="N625" s="172"/>
      <c r="O625" s="172"/>
      <c r="P625" s="172"/>
      <c r="Q625" s="172"/>
    </row>
    <row r="626" spans="6:17" s="170" customFormat="1" x14ac:dyDescent="0.2">
      <c r="F626" s="187"/>
      <c r="G626" s="187"/>
      <c r="H626" s="188"/>
      <c r="I626" s="189"/>
      <c r="J626" s="190"/>
      <c r="K626" s="190"/>
      <c r="L626" s="190"/>
      <c r="M626" s="191"/>
      <c r="N626" s="172"/>
      <c r="O626" s="172"/>
      <c r="P626" s="172"/>
      <c r="Q626" s="172"/>
    </row>
    <row r="627" spans="6:17" s="170" customFormat="1" x14ac:dyDescent="0.2">
      <c r="F627" s="187"/>
      <c r="G627" s="187"/>
      <c r="H627" s="188"/>
      <c r="I627" s="189"/>
      <c r="J627" s="190"/>
      <c r="K627" s="190"/>
      <c r="L627" s="190"/>
      <c r="M627" s="191"/>
      <c r="N627" s="172"/>
      <c r="O627" s="172"/>
      <c r="P627" s="172"/>
      <c r="Q627" s="172"/>
    </row>
    <row r="628" spans="6:17" s="170" customFormat="1" x14ac:dyDescent="0.2">
      <c r="F628" s="187"/>
      <c r="G628" s="187"/>
      <c r="H628" s="188"/>
      <c r="I628" s="189"/>
      <c r="J628" s="190"/>
      <c r="K628" s="190"/>
      <c r="L628" s="190"/>
      <c r="M628" s="191"/>
      <c r="N628" s="172"/>
      <c r="O628" s="172"/>
      <c r="P628" s="172"/>
      <c r="Q628" s="172"/>
    </row>
    <row r="629" spans="6:17" s="170" customFormat="1" x14ac:dyDescent="0.2">
      <c r="F629" s="187"/>
      <c r="G629" s="187"/>
      <c r="H629" s="188"/>
      <c r="I629" s="189"/>
      <c r="J629" s="190"/>
      <c r="K629" s="190"/>
      <c r="L629" s="190"/>
      <c r="M629" s="191"/>
      <c r="N629" s="172"/>
      <c r="O629" s="172"/>
      <c r="P629" s="172"/>
      <c r="Q629" s="172"/>
    </row>
    <row r="630" spans="6:17" s="170" customFormat="1" x14ac:dyDescent="0.2">
      <c r="F630" s="187"/>
      <c r="G630" s="187"/>
      <c r="H630" s="188"/>
      <c r="I630" s="189"/>
      <c r="J630" s="190"/>
      <c r="K630" s="190"/>
      <c r="L630" s="190"/>
      <c r="M630" s="191"/>
      <c r="N630" s="172"/>
      <c r="O630" s="172"/>
      <c r="P630" s="172"/>
      <c r="Q630" s="172"/>
    </row>
    <row r="631" spans="6:17" s="170" customFormat="1" x14ac:dyDescent="0.2">
      <c r="F631" s="187"/>
      <c r="G631" s="187"/>
      <c r="H631" s="188"/>
      <c r="I631" s="189"/>
      <c r="J631" s="190"/>
      <c r="K631" s="190"/>
      <c r="L631" s="190"/>
      <c r="M631" s="191"/>
      <c r="N631" s="172"/>
      <c r="O631" s="172"/>
      <c r="P631" s="172"/>
      <c r="Q631" s="172"/>
    </row>
    <row r="632" spans="6:17" s="170" customFormat="1" x14ac:dyDescent="0.2">
      <c r="F632" s="187"/>
      <c r="G632" s="187"/>
      <c r="H632" s="188"/>
      <c r="I632" s="189"/>
      <c r="J632" s="190"/>
      <c r="K632" s="190"/>
      <c r="L632" s="190"/>
      <c r="M632" s="191"/>
      <c r="N632" s="172"/>
      <c r="O632" s="172"/>
      <c r="P632" s="172"/>
      <c r="Q632" s="172"/>
    </row>
    <row r="633" spans="6:17" s="170" customFormat="1" x14ac:dyDescent="0.2">
      <c r="F633" s="187"/>
      <c r="G633" s="187"/>
      <c r="H633" s="188"/>
      <c r="I633" s="189"/>
      <c r="J633" s="190"/>
      <c r="K633" s="190"/>
      <c r="L633" s="190"/>
      <c r="M633" s="191"/>
      <c r="N633" s="172"/>
      <c r="O633" s="172"/>
      <c r="P633" s="172"/>
      <c r="Q633" s="172"/>
    </row>
    <row r="634" spans="6:17" s="170" customFormat="1" x14ac:dyDescent="0.2">
      <c r="F634" s="187"/>
      <c r="G634" s="187"/>
      <c r="H634" s="188"/>
      <c r="I634" s="189"/>
      <c r="J634" s="190"/>
      <c r="K634" s="190"/>
      <c r="L634" s="190"/>
      <c r="M634" s="191"/>
      <c r="N634" s="172"/>
      <c r="O634" s="172"/>
      <c r="P634" s="172"/>
      <c r="Q634" s="172"/>
    </row>
    <row r="635" spans="6:17" s="170" customFormat="1" x14ac:dyDescent="0.2">
      <c r="F635" s="187"/>
      <c r="G635" s="187"/>
      <c r="H635" s="188"/>
      <c r="I635" s="189"/>
      <c r="J635" s="190"/>
      <c r="K635" s="190"/>
      <c r="L635" s="190"/>
      <c r="M635" s="191"/>
      <c r="N635" s="172"/>
      <c r="O635" s="172"/>
      <c r="P635" s="172"/>
      <c r="Q635" s="172"/>
    </row>
    <row r="636" spans="6:17" s="170" customFormat="1" x14ac:dyDescent="0.2">
      <c r="F636" s="187"/>
      <c r="G636" s="187"/>
      <c r="H636" s="188"/>
      <c r="I636" s="189"/>
      <c r="J636" s="190"/>
      <c r="K636" s="190"/>
      <c r="L636" s="190"/>
      <c r="M636" s="191"/>
      <c r="N636" s="172"/>
      <c r="O636" s="172"/>
      <c r="P636" s="172"/>
      <c r="Q636" s="172"/>
    </row>
    <row r="637" spans="6:17" s="170" customFormat="1" x14ac:dyDescent="0.2">
      <c r="F637" s="187"/>
      <c r="G637" s="187"/>
      <c r="H637" s="188"/>
      <c r="I637" s="189"/>
      <c r="J637" s="190"/>
      <c r="K637" s="190"/>
      <c r="L637" s="190"/>
      <c r="M637" s="191"/>
      <c r="N637" s="172"/>
      <c r="O637" s="172"/>
      <c r="P637" s="172"/>
      <c r="Q637" s="172"/>
    </row>
    <row r="638" spans="6:17" s="170" customFormat="1" x14ac:dyDescent="0.2">
      <c r="F638" s="187"/>
      <c r="G638" s="187"/>
      <c r="H638" s="188"/>
      <c r="I638" s="189"/>
      <c r="J638" s="190"/>
      <c r="K638" s="190"/>
      <c r="L638" s="190"/>
      <c r="M638" s="191"/>
      <c r="N638" s="172"/>
      <c r="O638" s="172"/>
      <c r="P638" s="172"/>
      <c r="Q638" s="172"/>
    </row>
    <row r="639" spans="6:17" s="170" customFormat="1" x14ac:dyDescent="0.2">
      <c r="F639" s="187"/>
      <c r="G639" s="187"/>
      <c r="H639" s="188"/>
      <c r="I639" s="189"/>
      <c r="J639" s="190"/>
      <c r="K639" s="190"/>
      <c r="L639" s="190"/>
      <c r="M639" s="191"/>
      <c r="N639" s="172"/>
      <c r="O639" s="172"/>
      <c r="P639" s="172"/>
      <c r="Q639" s="172"/>
    </row>
    <row r="640" spans="6:17" s="170" customFormat="1" x14ac:dyDescent="0.2">
      <c r="F640" s="187"/>
      <c r="G640" s="187"/>
      <c r="H640" s="188"/>
      <c r="I640" s="189"/>
      <c r="J640" s="190"/>
      <c r="K640" s="190"/>
      <c r="L640" s="190"/>
      <c r="M640" s="191"/>
      <c r="N640" s="172"/>
      <c r="O640" s="172"/>
      <c r="P640" s="172"/>
      <c r="Q640" s="172"/>
    </row>
    <row r="641" spans="6:17" s="170" customFormat="1" x14ac:dyDescent="0.2">
      <c r="F641" s="187"/>
      <c r="G641" s="187"/>
      <c r="H641" s="188"/>
      <c r="I641" s="189"/>
      <c r="J641" s="190"/>
      <c r="K641" s="190"/>
      <c r="L641" s="190"/>
      <c r="M641" s="191"/>
      <c r="N641" s="172"/>
      <c r="O641" s="172"/>
      <c r="P641" s="172"/>
      <c r="Q641" s="172"/>
    </row>
    <row r="642" spans="6:17" s="170" customFormat="1" x14ac:dyDescent="0.2">
      <c r="F642" s="187"/>
      <c r="G642" s="187"/>
      <c r="H642" s="188"/>
      <c r="I642" s="189"/>
      <c r="J642" s="190"/>
      <c r="K642" s="190"/>
      <c r="L642" s="190"/>
      <c r="M642" s="191"/>
      <c r="N642" s="172"/>
      <c r="O642" s="172"/>
      <c r="P642" s="172"/>
      <c r="Q642" s="172"/>
    </row>
    <row r="643" spans="6:17" s="170" customFormat="1" x14ac:dyDescent="0.2">
      <c r="F643" s="187"/>
      <c r="G643" s="187"/>
      <c r="H643" s="188"/>
      <c r="I643" s="189"/>
      <c r="J643" s="190"/>
      <c r="K643" s="190"/>
      <c r="L643" s="190"/>
      <c r="M643" s="191"/>
      <c r="N643" s="172"/>
      <c r="O643" s="172"/>
      <c r="P643" s="172"/>
      <c r="Q643" s="172"/>
    </row>
    <row r="644" spans="6:17" s="170" customFormat="1" x14ac:dyDescent="0.2">
      <c r="F644" s="187"/>
      <c r="G644" s="187"/>
      <c r="H644" s="188"/>
      <c r="I644" s="189"/>
      <c r="J644" s="190"/>
      <c r="K644" s="190"/>
      <c r="L644" s="190"/>
      <c r="M644" s="191"/>
      <c r="N644" s="172"/>
      <c r="O644" s="172"/>
      <c r="P644" s="172"/>
      <c r="Q644" s="172"/>
    </row>
    <row r="645" spans="6:17" s="170" customFormat="1" x14ac:dyDescent="0.2">
      <c r="F645" s="187"/>
      <c r="G645" s="187"/>
      <c r="H645" s="188"/>
      <c r="I645" s="189"/>
      <c r="J645" s="190"/>
      <c r="K645" s="190"/>
      <c r="L645" s="190"/>
      <c r="M645" s="191"/>
      <c r="N645" s="172"/>
      <c r="O645" s="172"/>
      <c r="P645" s="172"/>
      <c r="Q645" s="172"/>
    </row>
    <row r="646" spans="6:17" s="170" customFormat="1" x14ac:dyDescent="0.2">
      <c r="F646" s="187"/>
      <c r="G646" s="187"/>
      <c r="H646" s="188"/>
      <c r="I646" s="189"/>
      <c r="J646" s="190"/>
      <c r="K646" s="190"/>
      <c r="L646" s="190"/>
      <c r="M646" s="191"/>
      <c r="N646" s="172"/>
      <c r="O646" s="172"/>
      <c r="P646" s="172"/>
      <c r="Q646" s="172"/>
    </row>
    <row r="647" spans="6:17" s="170" customFormat="1" x14ac:dyDescent="0.2">
      <c r="F647" s="187"/>
      <c r="G647" s="187"/>
      <c r="H647" s="188"/>
      <c r="I647" s="189"/>
      <c r="J647" s="190"/>
      <c r="K647" s="190"/>
      <c r="L647" s="190"/>
      <c r="M647" s="191"/>
      <c r="N647" s="172"/>
      <c r="O647" s="172"/>
      <c r="P647" s="172"/>
      <c r="Q647" s="172"/>
    </row>
    <row r="648" spans="6:17" s="170" customFormat="1" x14ac:dyDescent="0.2">
      <c r="F648" s="187"/>
      <c r="G648" s="187"/>
      <c r="H648" s="188"/>
      <c r="I648" s="189"/>
      <c r="J648" s="190"/>
      <c r="K648" s="190"/>
      <c r="L648" s="190"/>
      <c r="M648" s="191"/>
      <c r="N648" s="172"/>
      <c r="O648" s="172"/>
      <c r="P648" s="172"/>
      <c r="Q648" s="172"/>
    </row>
    <row r="649" spans="6:17" s="170" customFormat="1" x14ac:dyDescent="0.2">
      <c r="F649" s="187"/>
      <c r="G649" s="187"/>
      <c r="H649" s="188"/>
      <c r="I649" s="189"/>
      <c r="J649" s="190"/>
      <c r="K649" s="190"/>
      <c r="L649" s="190"/>
      <c r="M649" s="191"/>
      <c r="N649" s="172"/>
      <c r="O649" s="172"/>
      <c r="P649" s="172"/>
      <c r="Q649" s="172"/>
    </row>
    <row r="650" spans="6:17" s="170" customFormat="1" x14ac:dyDescent="0.2">
      <c r="F650" s="187"/>
      <c r="G650" s="187"/>
      <c r="H650" s="188"/>
      <c r="I650" s="189"/>
      <c r="J650" s="190"/>
      <c r="K650" s="190"/>
      <c r="L650" s="190"/>
      <c r="M650" s="191"/>
      <c r="N650" s="172"/>
      <c r="O650" s="172"/>
      <c r="P650" s="172"/>
      <c r="Q650" s="172"/>
    </row>
    <row r="651" spans="6:17" s="170" customFormat="1" x14ac:dyDescent="0.2">
      <c r="F651" s="187"/>
      <c r="G651" s="187"/>
      <c r="H651" s="188"/>
      <c r="I651" s="189"/>
      <c r="J651" s="190"/>
      <c r="K651" s="190"/>
      <c r="L651" s="190"/>
      <c r="M651" s="191"/>
      <c r="N651" s="172"/>
      <c r="O651" s="172"/>
      <c r="P651" s="172"/>
      <c r="Q651" s="172"/>
    </row>
    <row r="652" spans="6:17" s="170" customFormat="1" x14ac:dyDescent="0.2">
      <c r="F652" s="187"/>
      <c r="G652" s="187"/>
      <c r="H652" s="188"/>
      <c r="I652" s="189"/>
      <c r="J652" s="190"/>
      <c r="K652" s="190"/>
      <c r="L652" s="190"/>
      <c r="M652" s="191"/>
      <c r="N652" s="172"/>
      <c r="O652" s="172"/>
      <c r="P652" s="172"/>
      <c r="Q652" s="172"/>
    </row>
    <row r="653" spans="6:17" s="170" customFormat="1" x14ac:dyDescent="0.2">
      <c r="F653" s="187"/>
      <c r="G653" s="187"/>
      <c r="H653" s="188"/>
      <c r="I653" s="189"/>
      <c r="J653" s="190"/>
      <c r="K653" s="190"/>
      <c r="L653" s="190"/>
      <c r="M653" s="191"/>
      <c r="N653" s="172"/>
      <c r="O653" s="172"/>
      <c r="P653" s="172"/>
      <c r="Q653" s="172"/>
    </row>
    <row r="654" spans="6:17" s="170" customFormat="1" x14ac:dyDescent="0.2">
      <c r="F654" s="187"/>
      <c r="G654" s="187"/>
      <c r="H654" s="188"/>
      <c r="I654" s="189"/>
      <c r="J654" s="190"/>
      <c r="K654" s="190"/>
      <c r="L654" s="190"/>
      <c r="M654" s="191"/>
      <c r="N654" s="172"/>
      <c r="O654" s="172"/>
      <c r="P654" s="172"/>
      <c r="Q654" s="172"/>
    </row>
    <row r="655" spans="6:17" s="170" customFormat="1" x14ac:dyDescent="0.2">
      <c r="F655" s="187"/>
      <c r="G655" s="187"/>
      <c r="H655" s="188"/>
      <c r="I655" s="189"/>
      <c r="J655" s="190"/>
      <c r="K655" s="190"/>
      <c r="L655" s="190"/>
      <c r="M655" s="191"/>
      <c r="N655" s="172"/>
      <c r="O655" s="172"/>
      <c r="P655" s="172"/>
      <c r="Q655" s="172"/>
    </row>
    <row r="656" spans="6:17" s="170" customFormat="1" x14ac:dyDescent="0.2">
      <c r="F656" s="187"/>
      <c r="G656" s="187"/>
      <c r="H656" s="188"/>
      <c r="I656" s="189"/>
      <c r="J656" s="190"/>
      <c r="K656" s="190"/>
      <c r="L656" s="190"/>
      <c r="M656" s="191"/>
      <c r="N656" s="172"/>
      <c r="O656" s="172"/>
      <c r="P656" s="172"/>
      <c r="Q656" s="172"/>
    </row>
    <row r="657" spans="6:17" s="170" customFormat="1" x14ac:dyDescent="0.2">
      <c r="F657" s="187"/>
      <c r="G657" s="187"/>
      <c r="H657" s="188"/>
      <c r="I657" s="189"/>
      <c r="J657" s="190"/>
      <c r="K657" s="190"/>
      <c r="L657" s="190"/>
      <c r="M657" s="191"/>
      <c r="N657" s="172"/>
      <c r="O657" s="172"/>
      <c r="P657" s="172"/>
      <c r="Q657" s="172"/>
    </row>
    <row r="658" spans="6:17" s="170" customFormat="1" x14ac:dyDescent="0.2">
      <c r="F658" s="187"/>
      <c r="G658" s="187"/>
      <c r="H658" s="188"/>
      <c r="I658" s="189"/>
      <c r="J658" s="190"/>
      <c r="K658" s="190"/>
      <c r="L658" s="190"/>
      <c r="M658" s="191"/>
      <c r="N658" s="172"/>
      <c r="O658" s="172"/>
      <c r="P658" s="172"/>
      <c r="Q658" s="172"/>
    </row>
    <row r="659" spans="6:17" s="170" customFormat="1" x14ac:dyDescent="0.2">
      <c r="F659" s="187"/>
      <c r="G659" s="187"/>
      <c r="H659" s="188"/>
      <c r="I659" s="189"/>
      <c r="J659" s="190"/>
      <c r="K659" s="190"/>
      <c r="L659" s="190"/>
      <c r="M659" s="191"/>
      <c r="N659" s="172"/>
      <c r="O659" s="172"/>
      <c r="P659" s="172"/>
      <c r="Q659" s="172"/>
    </row>
    <row r="660" spans="6:17" s="170" customFormat="1" x14ac:dyDescent="0.2">
      <c r="F660" s="187"/>
      <c r="G660" s="187"/>
      <c r="H660" s="188"/>
      <c r="I660" s="189"/>
      <c r="J660" s="190"/>
      <c r="K660" s="190"/>
      <c r="L660" s="190"/>
      <c r="M660" s="191"/>
      <c r="N660" s="172"/>
      <c r="O660" s="172"/>
      <c r="P660" s="172"/>
      <c r="Q660" s="172"/>
    </row>
    <row r="661" spans="6:17" s="170" customFormat="1" x14ac:dyDescent="0.2">
      <c r="F661" s="187"/>
      <c r="G661" s="187"/>
      <c r="H661" s="188"/>
      <c r="I661" s="189"/>
      <c r="J661" s="190"/>
      <c r="K661" s="190"/>
      <c r="L661" s="190"/>
      <c r="M661" s="191"/>
      <c r="N661" s="172"/>
      <c r="O661" s="172"/>
      <c r="P661" s="172"/>
      <c r="Q661" s="172"/>
    </row>
    <row r="662" spans="6:17" s="170" customFormat="1" x14ac:dyDescent="0.2">
      <c r="F662" s="187"/>
      <c r="G662" s="187"/>
      <c r="H662" s="188"/>
      <c r="I662" s="189"/>
      <c r="J662" s="190"/>
      <c r="K662" s="190"/>
      <c r="L662" s="190"/>
      <c r="M662" s="191"/>
      <c r="N662" s="172"/>
      <c r="O662" s="172"/>
      <c r="P662" s="172"/>
      <c r="Q662" s="172"/>
    </row>
    <row r="663" spans="6:17" s="170" customFormat="1" x14ac:dyDescent="0.2">
      <c r="F663" s="187"/>
      <c r="G663" s="187"/>
      <c r="H663" s="188"/>
      <c r="I663" s="189"/>
      <c r="J663" s="190"/>
      <c r="K663" s="190"/>
      <c r="L663" s="190"/>
      <c r="M663" s="191"/>
      <c r="N663" s="172"/>
      <c r="O663" s="172"/>
      <c r="P663" s="172"/>
      <c r="Q663" s="172"/>
    </row>
    <row r="664" spans="6:17" s="170" customFormat="1" x14ac:dyDescent="0.2">
      <c r="F664" s="187"/>
      <c r="G664" s="187"/>
      <c r="H664" s="188"/>
      <c r="I664" s="189"/>
      <c r="J664" s="190"/>
      <c r="K664" s="190"/>
      <c r="L664" s="190"/>
      <c r="M664" s="191"/>
      <c r="N664" s="172"/>
      <c r="O664" s="172"/>
      <c r="P664" s="172"/>
      <c r="Q664" s="172"/>
    </row>
    <row r="665" spans="6:17" s="170" customFormat="1" x14ac:dyDescent="0.2">
      <c r="F665" s="187"/>
      <c r="G665" s="187"/>
      <c r="H665" s="188"/>
      <c r="I665" s="189"/>
      <c r="J665" s="190"/>
      <c r="K665" s="190"/>
      <c r="L665" s="190"/>
      <c r="M665" s="191"/>
      <c r="N665" s="172"/>
      <c r="O665" s="172"/>
      <c r="P665" s="172"/>
      <c r="Q665" s="172"/>
    </row>
    <row r="666" spans="6:17" s="170" customFormat="1" x14ac:dyDescent="0.2">
      <c r="F666" s="187"/>
      <c r="G666" s="187"/>
      <c r="H666" s="188"/>
      <c r="I666" s="189"/>
      <c r="J666" s="190"/>
      <c r="K666" s="190"/>
      <c r="L666" s="190"/>
      <c r="M666" s="191"/>
      <c r="N666" s="172"/>
      <c r="O666" s="172"/>
      <c r="P666" s="172"/>
      <c r="Q666" s="172"/>
    </row>
    <row r="667" spans="6:17" s="170" customFormat="1" x14ac:dyDescent="0.2">
      <c r="F667" s="187"/>
      <c r="G667" s="187"/>
      <c r="H667" s="188"/>
      <c r="I667" s="189"/>
      <c r="J667" s="190"/>
      <c r="K667" s="190"/>
      <c r="L667" s="190"/>
      <c r="M667" s="191"/>
      <c r="N667" s="172"/>
      <c r="O667" s="172"/>
      <c r="P667" s="172"/>
      <c r="Q667" s="172"/>
    </row>
    <row r="668" spans="6:17" s="170" customFormat="1" x14ac:dyDescent="0.2">
      <c r="F668" s="187"/>
      <c r="G668" s="187"/>
      <c r="H668" s="188"/>
      <c r="I668" s="189"/>
      <c r="J668" s="190"/>
      <c r="K668" s="190"/>
      <c r="L668" s="190"/>
      <c r="M668" s="191"/>
      <c r="N668" s="172"/>
      <c r="O668" s="172"/>
      <c r="P668" s="172"/>
      <c r="Q668" s="172"/>
    </row>
    <row r="669" spans="6:17" s="170" customFormat="1" x14ac:dyDescent="0.2">
      <c r="F669" s="187"/>
      <c r="G669" s="187"/>
      <c r="H669" s="188"/>
      <c r="I669" s="189"/>
      <c r="J669" s="190"/>
      <c r="K669" s="190"/>
      <c r="L669" s="190"/>
      <c r="M669" s="191"/>
      <c r="N669" s="172"/>
      <c r="O669" s="172"/>
      <c r="P669" s="172"/>
      <c r="Q669" s="172"/>
    </row>
    <row r="670" spans="6:17" s="170" customFormat="1" x14ac:dyDescent="0.2">
      <c r="F670" s="187"/>
      <c r="G670" s="187"/>
      <c r="H670" s="188"/>
      <c r="I670" s="189"/>
      <c r="J670" s="190"/>
      <c r="K670" s="190"/>
      <c r="L670" s="190"/>
      <c r="M670" s="191"/>
      <c r="N670" s="172"/>
      <c r="O670" s="172"/>
      <c r="P670" s="172"/>
      <c r="Q670" s="172"/>
    </row>
    <row r="671" spans="6:17" s="170" customFormat="1" x14ac:dyDescent="0.2">
      <c r="F671" s="187"/>
      <c r="G671" s="187"/>
      <c r="H671" s="188"/>
      <c r="I671" s="189"/>
      <c r="J671" s="190"/>
      <c r="K671" s="190"/>
      <c r="L671" s="190"/>
      <c r="M671" s="191"/>
      <c r="N671" s="172"/>
      <c r="O671" s="172"/>
      <c r="P671" s="172"/>
      <c r="Q671" s="172"/>
    </row>
    <row r="672" spans="6:17" s="170" customFormat="1" x14ac:dyDescent="0.2">
      <c r="F672" s="187"/>
      <c r="G672" s="187"/>
      <c r="H672" s="188"/>
      <c r="I672" s="189"/>
      <c r="J672" s="190"/>
      <c r="K672" s="190"/>
      <c r="L672" s="190"/>
      <c r="M672" s="191"/>
      <c r="N672" s="172"/>
      <c r="O672" s="172"/>
      <c r="P672" s="172"/>
      <c r="Q672" s="172"/>
    </row>
    <row r="673" spans="6:17" s="170" customFormat="1" x14ac:dyDescent="0.2">
      <c r="F673" s="187"/>
      <c r="G673" s="187"/>
      <c r="H673" s="188"/>
      <c r="I673" s="189"/>
      <c r="J673" s="190"/>
      <c r="K673" s="190"/>
      <c r="L673" s="190"/>
      <c r="M673" s="191"/>
      <c r="N673" s="172"/>
      <c r="O673" s="172"/>
      <c r="P673" s="172"/>
      <c r="Q673" s="172"/>
    </row>
    <row r="674" spans="6:17" s="170" customFormat="1" x14ac:dyDescent="0.2">
      <c r="F674" s="187"/>
      <c r="G674" s="187"/>
      <c r="H674" s="188"/>
      <c r="I674" s="189"/>
      <c r="J674" s="190"/>
      <c r="K674" s="190"/>
      <c r="L674" s="190"/>
      <c r="M674" s="191"/>
      <c r="N674" s="172"/>
      <c r="O674" s="172"/>
      <c r="P674" s="172"/>
      <c r="Q674" s="172"/>
    </row>
    <row r="675" spans="6:17" s="170" customFormat="1" x14ac:dyDescent="0.2">
      <c r="F675" s="187"/>
      <c r="G675" s="187"/>
      <c r="H675" s="188"/>
      <c r="I675" s="189"/>
      <c r="J675" s="190"/>
      <c r="K675" s="190"/>
      <c r="L675" s="190"/>
      <c r="M675" s="191"/>
      <c r="N675" s="172"/>
      <c r="O675" s="172"/>
      <c r="P675" s="172"/>
      <c r="Q675" s="172"/>
    </row>
    <row r="676" spans="6:17" s="170" customFormat="1" x14ac:dyDescent="0.2">
      <c r="F676" s="187"/>
      <c r="G676" s="187"/>
      <c r="H676" s="188"/>
      <c r="I676" s="189"/>
      <c r="J676" s="190"/>
      <c r="K676" s="190"/>
      <c r="L676" s="190"/>
      <c r="M676" s="191"/>
      <c r="N676" s="172"/>
      <c r="O676" s="172"/>
      <c r="P676" s="172"/>
      <c r="Q676" s="172"/>
    </row>
    <row r="677" spans="6:17" s="170" customFormat="1" x14ac:dyDescent="0.2">
      <c r="F677" s="187"/>
      <c r="G677" s="187"/>
      <c r="H677" s="188"/>
      <c r="I677" s="189"/>
      <c r="J677" s="190"/>
      <c r="K677" s="190"/>
      <c r="L677" s="190"/>
      <c r="M677" s="191"/>
      <c r="N677" s="172"/>
      <c r="O677" s="172"/>
      <c r="P677" s="172"/>
      <c r="Q677" s="172"/>
    </row>
    <row r="678" spans="6:17" s="170" customFormat="1" x14ac:dyDescent="0.2">
      <c r="F678" s="187"/>
      <c r="G678" s="187"/>
      <c r="H678" s="188"/>
      <c r="I678" s="189"/>
      <c r="J678" s="190"/>
      <c r="K678" s="190"/>
      <c r="L678" s="190"/>
      <c r="M678" s="191"/>
      <c r="N678" s="172"/>
      <c r="O678" s="172"/>
      <c r="P678" s="172"/>
      <c r="Q678" s="172"/>
    </row>
    <row r="679" spans="6:17" s="170" customFormat="1" x14ac:dyDescent="0.2">
      <c r="F679" s="187"/>
      <c r="G679" s="187"/>
      <c r="H679" s="188"/>
      <c r="I679" s="189"/>
      <c r="J679" s="190"/>
      <c r="K679" s="190"/>
      <c r="L679" s="190"/>
      <c r="M679" s="191"/>
      <c r="N679" s="172"/>
      <c r="O679" s="172"/>
      <c r="P679" s="172"/>
      <c r="Q679" s="172"/>
    </row>
    <row r="680" spans="6:17" s="170" customFormat="1" x14ac:dyDescent="0.2">
      <c r="F680" s="187"/>
      <c r="G680" s="187"/>
      <c r="H680" s="188"/>
      <c r="I680" s="189"/>
      <c r="J680" s="190"/>
      <c r="K680" s="190"/>
      <c r="L680" s="190"/>
      <c r="M680" s="191"/>
      <c r="N680" s="172"/>
      <c r="O680" s="172"/>
      <c r="P680" s="172"/>
      <c r="Q680" s="172"/>
    </row>
    <row r="681" spans="6:17" s="170" customFormat="1" x14ac:dyDescent="0.2">
      <c r="F681" s="187"/>
      <c r="G681" s="187"/>
      <c r="H681" s="188"/>
      <c r="I681" s="189"/>
      <c r="J681" s="190"/>
      <c r="K681" s="190"/>
      <c r="L681" s="190"/>
      <c r="M681" s="191"/>
      <c r="N681" s="172"/>
      <c r="O681" s="172"/>
      <c r="P681" s="172"/>
      <c r="Q681" s="172"/>
    </row>
    <row r="682" spans="6:17" s="170" customFormat="1" x14ac:dyDescent="0.2">
      <c r="F682" s="187"/>
      <c r="G682" s="187"/>
      <c r="H682" s="188"/>
      <c r="I682" s="189"/>
      <c r="J682" s="190"/>
      <c r="K682" s="190"/>
      <c r="L682" s="190"/>
      <c r="M682" s="191"/>
      <c r="N682" s="172"/>
      <c r="O682" s="172"/>
      <c r="P682" s="172"/>
      <c r="Q682" s="172"/>
    </row>
    <row r="683" spans="6:17" s="170" customFormat="1" x14ac:dyDescent="0.2">
      <c r="F683" s="187"/>
      <c r="G683" s="187"/>
      <c r="H683" s="188"/>
      <c r="I683" s="189"/>
      <c r="J683" s="190"/>
      <c r="K683" s="190"/>
      <c r="L683" s="190"/>
      <c r="M683" s="191"/>
      <c r="N683" s="172"/>
      <c r="O683" s="172"/>
      <c r="P683" s="172"/>
      <c r="Q683" s="172"/>
    </row>
    <row r="684" spans="6:17" s="170" customFormat="1" x14ac:dyDescent="0.2">
      <c r="F684" s="187"/>
      <c r="G684" s="187"/>
      <c r="H684" s="188"/>
      <c r="I684" s="189"/>
      <c r="J684" s="190"/>
      <c r="K684" s="190"/>
      <c r="L684" s="190"/>
      <c r="M684" s="191"/>
      <c r="N684" s="172"/>
      <c r="O684" s="172"/>
      <c r="P684" s="172"/>
      <c r="Q684" s="172"/>
    </row>
    <row r="685" spans="6:17" s="170" customFormat="1" x14ac:dyDescent="0.2">
      <c r="F685" s="187"/>
      <c r="G685" s="187"/>
      <c r="H685" s="188"/>
      <c r="I685" s="189"/>
      <c r="J685" s="190"/>
      <c r="K685" s="190"/>
      <c r="L685" s="190"/>
      <c r="M685" s="191"/>
      <c r="N685" s="172"/>
      <c r="O685" s="172"/>
      <c r="P685" s="172"/>
      <c r="Q685" s="172"/>
    </row>
    <row r="686" spans="6:17" s="170" customFormat="1" x14ac:dyDescent="0.2">
      <c r="F686" s="187"/>
      <c r="G686" s="187"/>
      <c r="H686" s="188"/>
      <c r="I686" s="189"/>
      <c r="J686" s="190"/>
      <c r="K686" s="190"/>
      <c r="L686" s="190"/>
      <c r="M686" s="191"/>
      <c r="N686" s="172"/>
      <c r="O686" s="172"/>
      <c r="P686" s="172"/>
      <c r="Q686" s="172"/>
    </row>
    <row r="687" spans="6:17" s="170" customFormat="1" x14ac:dyDescent="0.2">
      <c r="F687" s="187"/>
      <c r="G687" s="187"/>
      <c r="H687" s="188"/>
      <c r="I687" s="189"/>
      <c r="J687" s="190"/>
      <c r="K687" s="190"/>
      <c r="L687" s="190"/>
      <c r="M687" s="191"/>
      <c r="N687" s="172"/>
      <c r="O687" s="172"/>
      <c r="P687" s="172"/>
      <c r="Q687" s="172"/>
    </row>
    <row r="688" spans="6:17" s="170" customFormat="1" x14ac:dyDescent="0.2">
      <c r="F688" s="187"/>
      <c r="G688" s="187"/>
      <c r="H688" s="188"/>
      <c r="I688" s="189"/>
      <c r="J688" s="190"/>
      <c r="K688" s="190"/>
      <c r="L688" s="190"/>
      <c r="M688" s="191"/>
      <c r="N688" s="172"/>
      <c r="O688" s="172"/>
      <c r="P688" s="172"/>
      <c r="Q688" s="172"/>
    </row>
    <row r="689" spans="6:17" s="170" customFormat="1" x14ac:dyDescent="0.2">
      <c r="F689" s="187"/>
      <c r="G689" s="187"/>
      <c r="H689" s="188"/>
      <c r="I689" s="189"/>
      <c r="J689" s="190"/>
      <c r="K689" s="190"/>
      <c r="L689" s="190"/>
      <c r="M689" s="191"/>
      <c r="N689" s="172"/>
      <c r="O689" s="172"/>
      <c r="P689" s="172"/>
      <c r="Q689" s="172"/>
    </row>
    <row r="690" spans="6:17" s="170" customFormat="1" x14ac:dyDescent="0.2">
      <c r="F690" s="187"/>
      <c r="G690" s="187"/>
      <c r="H690" s="188"/>
      <c r="I690" s="189"/>
      <c r="J690" s="190"/>
      <c r="K690" s="190"/>
      <c r="L690" s="190"/>
      <c r="M690" s="191"/>
      <c r="N690" s="172"/>
      <c r="O690" s="172"/>
      <c r="P690" s="172"/>
      <c r="Q690" s="172"/>
    </row>
    <row r="691" spans="6:17" s="170" customFormat="1" x14ac:dyDescent="0.2">
      <c r="F691" s="187"/>
      <c r="G691" s="187"/>
      <c r="H691" s="188"/>
      <c r="I691" s="189"/>
      <c r="J691" s="190"/>
      <c r="K691" s="190"/>
      <c r="L691" s="190"/>
      <c r="M691" s="191"/>
      <c r="N691" s="172"/>
      <c r="O691" s="172"/>
      <c r="P691" s="172"/>
      <c r="Q691" s="172"/>
    </row>
    <row r="692" spans="6:17" s="170" customFormat="1" x14ac:dyDescent="0.2">
      <c r="F692" s="187"/>
      <c r="G692" s="187"/>
      <c r="H692" s="188"/>
      <c r="I692" s="189"/>
      <c r="J692" s="190"/>
      <c r="K692" s="190"/>
      <c r="L692" s="190"/>
      <c r="M692" s="191"/>
      <c r="N692" s="172"/>
      <c r="O692" s="172"/>
      <c r="P692" s="172"/>
      <c r="Q692" s="172"/>
    </row>
    <row r="693" spans="6:17" s="170" customFormat="1" x14ac:dyDescent="0.2">
      <c r="F693" s="187"/>
      <c r="G693" s="187"/>
      <c r="H693" s="188"/>
      <c r="I693" s="189"/>
      <c r="J693" s="190"/>
      <c r="K693" s="190"/>
      <c r="L693" s="190"/>
      <c r="M693" s="191"/>
      <c r="N693" s="172"/>
      <c r="O693" s="172"/>
      <c r="P693" s="172"/>
      <c r="Q693" s="172"/>
    </row>
    <row r="694" spans="6:17" s="170" customFormat="1" x14ac:dyDescent="0.2">
      <c r="F694" s="187"/>
      <c r="G694" s="187"/>
      <c r="H694" s="188"/>
      <c r="I694" s="189"/>
      <c r="J694" s="190"/>
      <c r="K694" s="190"/>
      <c r="L694" s="190"/>
      <c r="M694" s="191"/>
      <c r="N694" s="172"/>
      <c r="O694" s="172"/>
      <c r="P694" s="172"/>
      <c r="Q694" s="172"/>
    </row>
    <row r="695" spans="6:17" s="170" customFormat="1" x14ac:dyDescent="0.2">
      <c r="F695" s="187"/>
      <c r="G695" s="187"/>
      <c r="H695" s="188"/>
      <c r="I695" s="189"/>
      <c r="J695" s="190"/>
      <c r="K695" s="190"/>
      <c r="L695" s="190"/>
      <c r="M695" s="191"/>
      <c r="N695" s="172"/>
      <c r="O695" s="172"/>
      <c r="P695" s="172"/>
      <c r="Q695" s="172"/>
    </row>
    <row r="696" spans="6:17" s="170" customFormat="1" x14ac:dyDescent="0.2">
      <c r="F696" s="187"/>
      <c r="G696" s="187"/>
      <c r="H696" s="188"/>
      <c r="I696" s="189"/>
      <c r="J696" s="190"/>
      <c r="K696" s="190"/>
      <c r="L696" s="190"/>
      <c r="M696" s="191"/>
      <c r="N696" s="172"/>
      <c r="O696" s="172"/>
      <c r="P696" s="172"/>
      <c r="Q696" s="172"/>
    </row>
    <row r="697" spans="6:17" s="170" customFormat="1" x14ac:dyDescent="0.2">
      <c r="F697" s="187"/>
      <c r="G697" s="187"/>
      <c r="H697" s="188"/>
      <c r="I697" s="189"/>
      <c r="J697" s="190"/>
      <c r="K697" s="190"/>
      <c r="L697" s="190"/>
      <c r="M697" s="191"/>
      <c r="N697" s="172"/>
      <c r="O697" s="172"/>
      <c r="P697" s="172"/>
      <c r="Q697" s="172"/>
    </row>
    <row r="698" spans="6:17" s="170" customFormat="1" x14ac:dyDescent="0.2">
      <c r="F698" s="187"/>
      <c r="G698" s="187"/>
      <c r="H698" s="188"/>
      <c r="I698" s="189"/>
      <c r="J698" s="190"/>
      <c r="K698" s="190"/>
      <c r="L698" s="190"/>
      <c r="M698" s="191"/>
      <c r="N698" s="172"/>
      <c r="O698" s="172"/>
      <c r="P698" s="172"/>
      <c r="Q698" s="172"/>
    </row>
    <row r="699" spans="6:17" s="170" customFormat="1" x14ac:dyDescent="0.2">
      <c r="F699" s="187"/>
      <c r="G699" s="187"/>
      <c r="H699" s="188"/>
      <c r="I699" s="189"/>
      <c r="J699" s="190"/>
      <c r="K699" s="190"/>
      <c r="L699" s="190"/>
      <c r="M699" s="191"/>
      <c r="N699" s="172"/>
      <c r="O699" s="172"/>
      <c r="P699" s="172"/>
      <c r="Q699" s="172"/>
    </row>
    <row r="700" spans="6:17" s="170" customFormat="1" x14ac:dyDescent="0.2">
      <c r="F700" s="187"/>
      <c r="G700" s="187"/>
      <c r="H700" s="188"/>
      <c r="I700" s="189"/>
      <c r="J700" s="190"/>
      <c r="K700" s="190"/>
      <c r="L700" s="190"/>
      <c r="M700" s="191"/>
      <c r="N700" s="172"/>
      <c r="O700" s="172"/>
      <c r="P700" s="172"/>
      <c r="Q700" s="172"/>
    </row>
    <row r="701" spans="6:17" s="170" customFormat="1" x14ac:dyDescent="0.2">
      <c r="F701" s="187"/>
      <c r="G701" s="187"/>
      <c r="H701" s="188"/>
      <c r="I701" s="189"/>
      <c r="J701" s="190"/>
      <c r="K701" s="190"/>
      <c r="L701" s="190"/>
      <c r="M701" s="191"/>
      <c r="N701" s="172"/>
      <c r="O701" s="172"/>
      <c r="P701" s="172"/>
      <c r="Q701" s="172"/>
    </row>
    <row r="702" spans="6:17" s="170" customFormat="1" x14ac:dyDescent="0.2">
      <c r="F702" s="187"/>
      <c r="G702" s="187"/>
      <c r="H702" s="188"/>
      <c r="I702" s="189"/>
      <c r="J702" s="190"/>
      <c r="K702" s="190"/>
      <c r="L702" s="190"/>
      <c r="M702" s="191"/>
      <c r="N702" s="172"/>
      <c r="O702" s="172"/>
      <c r="P702" s="172"/>
      <c r="Q702" s="172"/>
    </row>
    <row r="703" spans="6:17" s="170" customFormat="1" x14ac:dyDescent="0.2">
      <c r="F703" s="187"/>
      <c r="G703" s="187"/>
      <c r="H703" s="188"/>
      <c r="I703" s="189"/>
      <c r="J703" s="190"/>
      <c r="K703" s="190"/>
      <c r="L703" s="190"/>
      <c r="M703" s="191"/>
      <c r="N703" s="172"/>
      <c r="O703" s="172"/>
      <c r="P703" s="172"/>
      <c r="Q703" s="172"/>
    </row>
    <row r="704" spans="6:17" s="170" customFormat="1" x14ac:dyDescent="0.2">
      <c r="F704" s="187"/>
      <c r="G704" s="187"/>
      <c r="H704" s="188"/>
      <c r="I704" s="189"/>
      <c r="J704" s="190"/>
      <c r="K704" s="190"/>
      <c r="L704" s="190"/>
      <c r="M704" s="191"/>
      <c r="N704" s="172"/>
      <c r="O704" s="172"/>
      <c r="P704" s="172"/>
      <c r="Q704" s="172"/>
    </row>
    <row r="705" spans="6:17" s="170" customFormat="1" x14ac:dyDescent="0.2">
      <c r="F705" s="187"/>
      <c r="G705" s="187"/>
      <c r="H705" s="188"/>
      <c r="I705" s="189"/>
      <c r="J705" s="190"/>
      <c r="K705" s="190"/>
      <c r="L705" s="190"/>
      <c r="M705" s="191"/>
      <c r="N705" s="172"/>
      <c r="O705" s="172"/>
      <c r="P705" s="172"/>
      <c r="Q705" s="172"/>
    </row>
    <row r="706" spans="6:17" s="170" customFormat="1" x14ac:dyDescent="0.2">
      <c r="F706" s="187"/>
      <c r="G706" s="187"/>
      <c r="H706" s="188"/>
      <c r="I706" s="189"/>
      <c r="J706" s="190"/>
      <c r="K706" s="190"/>
      <c r="L706" s="190"/>
      <c r="M706" s="191"/>
      <c r="N706" s="172"/>
      <c r="O706" s="172"/>
      <c r="P706" s="172"/>
      <c r="Q706" s="172"/>
    </row>
    <row r="707" spans="6:17" s="170" customFormat="1" x14ac:dyDescent="0.2">
      <c r="F707" s="187"/>
      <c r="G707" s="187"/>
      <c r="H707" s="188"/>
      <c r="I707" s="189"/>
      <c r="J707" s="190"/>
      <c r="K707" s="190"/>
      <c r="L707" s="190"/>
      <c r="M707" s="191"/>
      <c r="N707" s="172"/>
      <c r="O707" s="172"/>
      <c r="P707" s="172"/>
      <c r="Q707" s="172"/>
    </row>
    <row r="708" spans="6:17" s="170" customFormat="1" x14ac:dyDescent="0.2">
      <c r="F708" s="187"/>
      <c r="G708" s="187"/>
      <c r="H708" s="188"/>
      <c r="I708" s="189"/>
      <c r="J708" s="190"/>
      <c r="K708" s="190"/>
      <c r="L708" s="190"/>
      <c r="M708" s="191"/>
      <c r="N708" s="172"/>
      <c r="O708" s="172"/>
      <c r="P708" s="172"/>
      <c r="Q708" s="172"/>
    </row>
    <row r="709" spans="6:17" s="170" customFormat="1" x14ac:dyDescent="0.2">
      <c r="F709" s="187"/>
      <c r="G709" s="187"/>
      <c r="H709" s="188"/>
      <c r="I709" s="189"/>
      <c r="J709" s="190"/>
      <c r="K709" s="190"/>
      <c r="L709" s="190"/>
      <c r="M709" s="191"/>
      <c r="N709" s="172"/>
      <c r="O709" s="172"/>
      <c r="P709" s="172"/>
      <c r="Q709" s="172"/>
    </row>
    <row r="710" spans="6:17" s="170" customFormat="1" x14ac:dyDescent="0.2">
      <c r="F710" s="187"/>
      <c r="G710" s="187"/>
      <c r="H710" s="188"/>
      <c r="I710" s="189"/>
      <c r="J710" s="190"/>
      <c r="K710" s="190"/>
      <c r="L710" s="190"/>
      <c r="M710" s="191"/>
      <c r="N710" s="172"/>
      <c r="O710" s="172"/>
      <c r="P710" s="172"/>
      <c r="Q710" s="172"/>
    </row>
    <row r="711" spans="6:17" s="170" customFormat="1" x14ac:dyDescent="0.2">
      <c r="F711" s="187"/>
      <c r="G711" s="187"/>
      <c r="H711" s="188"/>
      <c r="I711" s="189"/>
      <c r="J711" s="190"/>
      <c r="K711" s="190"/>
      <c r="L711" s="190"/>
      <c r="M711" s="191"/>
      <c r="N711" s="172"/>
      <c r="O711" s="172"/>
      <c r="P711" s="172"/>
      <c r="Q711" s="172"/>
    </row>
    <row r="712" spans="6:17" s="170" customFormat="1" x14ac:dyDescent="0.2">
      <c r="F712" s="187"/>
      <c r="G712" s="187"/>
      <c r="H712" s="188"/>
      <c r="I712" s="189"/>
      <c r="J712" s="190"/>
      <c r="K712" s="190"/>
      <c r="L712" s="190"/>
      <c r="M712" s="191"/>
      <c r="N712" s="172"/>
      <c r="O712" s="172"/>
      <c r="P712" s="172"/>
      <c r="Q712" s="172"/>
    </row>
    <row r="713" spans="6:17" s="170" customFormat="1" x14ac:dyDescent="0.2">
      <c r="F713" s="187"/>
      <c r="G713" s="187"/>
      <c r="H713" s="188"/>
      <c r="I713" s="189"/>
      <c r="J713" s="190"/>
      <c r="K713" s="190"/>
      <c r="L713" s="190"/>
      <c r="M713" s="191"/>
      <c r="N713" s="172"/>
      <c r="O713" s="172"/>
      <c r="P713" s="172"/>
      <c r="Q713" s="172"/>
    </row>
    <row r="714" spans="6:17" s="170" customFormat="1" x14ac:dyDescent="0.2">
      <c r="F714" s="187"/>
      <c r="G714" s="187"/>
      <c r="H714" s="188"/>
      <c r="I714" s="189"/>
      <c r="J714" s="190"/>
      <c r="K714" s="190"/>
      <c r="L714" s="190"/>
      <c r="M714" s="191"/>
      <c r="N714" s="172"/>
      <c r="O714" s="172"/>
      <c r="P714" s="172"/>
      <c r="Q714" s="172"/>
    </row>
    <row r="715" spans="6:17" s="170" customFormat="1" x14ac:dyDescent="0.2">
      <c r="F715" s="187"/>
      <c r="G715" s="187"/>
      <c r="H715" s="188"/>
      <c r="I715" s="189"/>
      <c r="J715" s="190"/>
      <c r="K715" s="190"/>
      <c r="L715" s="190"/>
      <c r="M715" s="191"/>
      <c r="N715" s="172"/>
      <c r="O715" s="172"/>
      <c r="P715" s="172"/>
      <c r="Q715" s="172"/>
    </row>
    <row r="716" spans="6:17" s="170" customFormat="1" x14ac:dyDescent="0.2">
      <c r="F716" s="187"/>
      <c r="G716" s="187"/>
      <c r="H716" s="188"/>
      <c r="I716" s="189"/>
      <c r="J716" s="190"/>
      <c r="K716" s="190"/>
      <c r="L716" s="190"/>
      <c r="M716" s="191"/>
      <c r="N716" s="172"/>
      <c r="O716" s="172"/>
      <c r="P716" s="172"/>
      <c r="Q716" s="172"/>
    </row>
    <row r="717" spans="6:17" s="170" customFormat="1" x14ac:dyDescent="0.2">
      <c r="F717" s="187"/>
      <c r="G717" s="187"/>
      <c r="H717" s="188"/>
      <c r="I717" s="189"/>
      <c r="J717" s="190"/>
      <c r="K717" s="190"/>
      <c r="L717" s="190"/>
      <c r="M717" s="191"/>
      <c r="N717" s="172"/>
      <c r="O717" s="172"/>
      <c r="P717" s="172"/>
      <c r="Q717" s="172"/>
    </row>
    <row r="718" spans="6:17" s="170" customFormat="1" x14ac:dyDescent="0.2">
      <c r="F718" s="187"/>
      <c r="G718" s="187"/>
      <c r="H718" s="188"/>
      <c r="I718" s="189"/>
      <c r="J718" s="190"/>
      <c r="K718" s="190"/>
      <c r="L718" s="190"/>
      <c r="M718" s="191"/>
      <c r="N718" s="172"/>
      <c r="O718" s="172"/>
      <c r="P718" s="172"/>
      <c r="Q718" s="172"/>
    </row>
    <row r="719" spans="6:17" s="170" customFormat="1" x14ac:dyDescent="0.2">
      <c r="F719" s="187"/>
      <c r="G719" s="187"/>
      <c r="H719" s="188"/>
      <c r="I719" s="189"/>
      <c r="J719" s="190"/>
      <c r="K719" s="190"/>
      <c r="L719" s="190"/>
      <c r="M719" s="191"/>
      <c r="N719" s="172"/>
      <c r="O719" s="172"/>
      <c r="P719" s="172"/>
      <c r="Q719" s="172"/>
    </row>
    <row r="720" spans="6:17" s="170" customFormat="1" x14ac:dyDescent="0.2">
      <c r="F720" s="187"/>
      <c r="G720" s="187"/>
      <c r="H720" s="188"/>
      <c r="I720" s="189"/>
      <c r="J720" s="190"/>
      <c r="K720" s="190"/>
      <c r="L720" s="190"/>
      <c r="M720" s="191"/>
      <c r="N720" s="172"/>
      <c r="O720" s="172"/>
      <c r="P720" s="172"/>
      <c r="Q720" s="172"/>
    </row>
    <row r="721" spans="6:17" s="170" customFormat="1" x14ac:dyDescent="0.2">
      <c r="F721" s="187"/>
      <c r="G721" s="187"/>
      <c r="H721" s="188"/>
      <c r="I721" s="189"/>
      <c r="J721" s="190"/>
      <c r="K721" s="190"/>
      <c r="L721" s="190"/>
      <c r="M721" s="191"/>
      <c r="N721" s="172"/>
      <c r="O721" s="172"/>
      <c r="P721" s="172"/>
      <c r="Q721" s="172"/>
    </row>
    <row r="722" spans="6:17" s="170" customFormat="1" x14ac:dyDescent="0.2">
      <c r="F722" s="187"/>
      <c r="G722" s="187"/>
      <c r="H722" s="188"/>
      <c r="I722" s="189"/>
      <c r="J722" s="190"/>
      <c r="K722" s="190"/>
      <c r="L722" s="190"/>
      <c r="M722" s="191"/>
      <c r="N722" s="172"/>
      <c r="O722" s="172"/>
      <c r="P722" s="172"/>
      <c r="Q722" s="172"/>
    </row>
    <row r="723" spans="6:17" s="170" customFormat="1" x14ac:dyDescent="0.2">
      <c r="F723" s="187"/>
      <c r="G723" s="187"/>
      <c r="H723" s="188"/>
      <c r="I723" s="189"/>
      <c r="J723" s="190"/>
      <c r="K723" s="190"/>
      <c r="L723" s="190"/>
      <c r="M723" s="191"/>
      <c r="N723" s="172"/>
      <c r="O723" s="172"/>
      <c r="P723" s="172"/>
      <c r="Q723" s="172"/>
    </row>
    <row r="724" spans="6:17" s="170" customFormat="1" x14ac:dyDescent="0.2">
      <c r="F724" s="187"/>
      <c r="G724" s="187"/>
      <c r="H724" s="188"/>
      <c r="I724" s="189"/>
      <c r="J724" s="190"/>
      <c r="K724" s="190"/>
      <c r="L724" s="190"/>
      <c r="M724" s="191"/>
      <c r="N724" s="172"/>
      <c r="O724" s="172"/>
      <c r="P724" s="172"/>
      <c r="Q724" s="172"/>
    </row>
    <row r="725" spans="6:17" s="170" customFormat="1" x14ac:dyDescent="0.2">
      <c r="F725" s="187"/>
      <c r="G725" s="187"/>
      <c r="H725" s="188"/>
      <c r="I725" s="189"/>
      <c r="J725" s="190"/>
      <c r="K725" s="190"/>
      <c r="L725" s="190"/>
      <c r="M725" s="191"/>
      <c r="N725" s="172"/>
      <c r="O725" s="172"/>
      <c r="P725" s="172"/>
      <c r="Q725" s="172"/>
    </row>
    <row r="726" spans="6:17" s="170" customFormat="1" x14ac:dyDescent="0.2">
      <c r="F726" s="187"/>
      <c r="G726" s="187"/>
      <c r="H726" s="188"/>
      <c r="I726" s="189"/>
      <c r="J726" s="190"/>
      <c r="K726" s="190"/>
      <c r="L726" s="190"/>
      <c r="M726" s="191"/>
      <c r="N726" s="172"/>
      <c r="O726" s="172"/>
      <c r="P726" s="172"/>
      <c r="Q726" s="172"/>
    </row>
    <row r="727" spans="6:17" s="170" customFormat="1" x14ac:dyDescent="0.2">
      <c r="F727" s="187"/>
      <c r="G727" s="187"/>
      <c r="H727" s="188"/>
      <c r="I727" s="189"/>
      <c r="J727" s="190"/>
      <c r="K727" s="190"/>
      <c r="L727" s="190"/>
      <c r="M727" s="191"/>
      <c r="N727" s="172"/>
      <c r="O727" s="172"/>
      <c r="P727" s="172"/>
      <c r="Q727" s="172"/>
    </row>
    <row r="728" spans="6:17" s="170" customFormat="1" x14ac:dyDescent="0.2">
      <c r="F728" s="187"/>
      <c r="G728" s="187"/>
      <c r="H728" s="188"/>
      <c r="I728" s="189"/>
      <c r="J728" s="190"/>
      <c r="K728" s="190"/>
      <c r="L728" s="190"/>
      <c r="M728" s="191"/>
      <c r="N728" s="172"/>
      <c r="O728" s="172"/>
      <c r="P728" s="172"/>
      <c r="Q728" s="172"/>
    </row>
    <row r="729" spans="6:17" s="170" customFormat="1" x14ac:dyDescent="0.2">
      <c r="F729" s="187"/>
      <c r="G729" s="187"/>
      <c r="H729" s="188"/>
      <c r="I729" s="189"/>
      <c r="J729" s="190"/>
      <c r="K729" s="190"/>
      <c r="L729" s="190"/>
      <c r="M729" s="191"/>
      <c r="N729" s="172"/>
      <c r="O729" s="172"/>
      <c r="P729" s="172"/>
      <c r="Q729" s="172"/>
    </row>
    <row r="730" spans="6:17" s="170" customFormat="1" x14ac:dyDescent="0.2">
      <c r="F730" s="187"/>
      <c r="G730" s="187"/>
      <c r="H730" s="188"/>
      <c r="I730" s="189"/>
      <c r="J730" s="190"/>
      <c r="K730" s="190"/>
      <c r="L730" s="190"/>
      <c r="M730" s="191"/>
      <c r="N730" s="172"/>
      <c r="O730" s="172"/>
      <c r="P730" s="172"/>
      <c r="Q730" s="172"/>
    </row>
    <row r="731" spans="6:17" s="170" customFormat="1" x14ac:dyDescent="0.2">
      <c r="F731" s="187"/>
      <c r="G731" s="187"/>
      <c r="H731" s="188"/>
      <c r="I731" s="189"/>
      <c r="J731" s="190"/>
      <c r="K731" s="190"/>
      <c r="L731" s="190"/>
      <c r="M731" s="191"/>
      <c r="N731" s="172"/>
      <c r="O731" s="172"/>
      <c r="P731" s="172"/>
      <c r="Q731" s="172"/>
    </row>
    <row r="732" spans="6:17" s="170" customFormat="1" x14ac:dyDescent="0.2">
      <c r="F732" s="187"/>
      <c r="G732" s="187"/>
      <c r="H732" s="188"/>
      <c r="I732" s="189"/>
      <c r="J732" s="190"/>
      <c r="K732" s="190"/>
      <c r="L732" s="190"/>
      <c r="M732" s="191"/>
      <c r="N732" s="172"/>
      <c r="O732" s="172"/>
      <c r="P732" s="172"/>
      <c r="Q732" s="172"/>
    </row>
    <row r="733" spans="6:17" s="170" customFormat="1" x14ac:dyDescent="0.2">
      <c r="F733" s="187"/>
      <c r="G733" s="187"/>
      <c r="H733" s="188"/>
      <c r="I733" s="189"/>
      <c r="J733" s="190"/>
      <c r="K733" s="190"/>
      <c r="L733" s="190"/>
      <c r="M733" s="191"/>
      <c r="N733" s="172"/>
      <c r="O733" s="172"/>
      <c r="P733" s="172"/>
      <c r="Q733" s="172"/>
    </row>
    <row r="734" spans="6:17" s="170" customFormat="1" x14ac:dyDescent="0.2">
      <c r="F734" s="187"/>
      <c r="G734" s="187"/>
      <c r="H734" s="188"/>
      <c r="I734" s="189"/>
      <c r="J734" s="190"/>
      <c r="K734" s="190"/>
      <c r="L734" s="190"/>
      <c r="M734" s="191"/>
      <c r="N734" s="172"/>
      <c r="O734" s="172"/>
      <c r="P734" s="172"/>
      <c r="Q734" s="172"/>
    </row>
    <row r="735" spans="6:17" s="170" customFormat="1" x14ac:dyDescent="0.2">
      <c r="F735" s="187"/>
      <c r="G735" s="187"/>
      <c r="H735" s="188"/>
      <c r="I735" s="189"/>
      <c r="J735" s="190"/>
      <c r="K735" s="190"/>
      <c r="L735" s="190"/>
      <c r="M735" s="191"/>
      <c r="N735" s="172"/>
      <c r="O735" s="172"/>
      <c r="P735" s="172"/>
      <c r="Q735" s="172"/>
    </row>
    <row r="736" spans="6:17" s="170" customFormat="1" x14ac:dyDescent="0.2">
      <c r="F736" s="187"/>
      <c r="G736" s="187"/>
      <c r="H736" s="188"/>
      <c r="I736" s="189"/>
      <c r="J736" s="190"/>
      <c r="K736" s="190"/>
      <c r="L736" s="190"/>
      <c r="M736" s="191"/>
      <c r="N736" s="172"/>
      <c r="O736" s="172"/>
      <c r="P736" s="172"/>
      <c r="Q736" s="172"/>
    </row>
    <row r="737" spans="6:17" s="170" customFormat="1" x14ac:dyDescent="0.2">
      <c r="F737" s="187"/>
      <c r="G737" s="187"/>
      <c r="H737" s="188"/>
      <c r="I737" s="189"/>
      <c r="J737" s="190"/>
      <c r="K737" s="190"/>
      <c r="L737" s="190"/>
      <c r="M737" s="191"/>
      <c r="N737" s="172"/>
      <c r="O737" s="172"/>
      <c r="P737" s="172"/>
      <c r="Q737" s="172"/>
    </row>
    <row r="738" spans="6:17" s="170" customFormat="1" x14ac:dyDescent="0.2">
      <c r="F738" s="187"/>
      <c r="G738" s="187"/>
      <c r="H738" s="188"/>
      <c r="I738" s="189"/>
      <c r="J738" s="190"/>
      <c r="K738" s="190"/>
      <c r="L738" s="190"/>
      <c r="M738" s="191"/>
      <c r="N738" s="172"/>
      <c r="O738" s="172"/>
      <c r="P738" s="172"/>
      <c r="Q738" s="172"/>
    </row>
    <row r="739" spans="6:17" s="170" customFormat="1" x14ac:dyDescent="0.2">
      <c r="F739" s="187"/>
      <c r="G739" s="187"/>
      <c r="H739" s="188"/>
      <c r="I739" s="189"/>
      <c r="J739" s="190"/>
      <c r="K739" s="190"/>
      <c r="L739" s="190"/>
      <c r="M739" s="191"/>
      <c r="N739" s="172"/>
      <c r="O739" s="172"/>
      <c r="P739" s="172"/>
      <c r="Q739" s="172"/>
    </row>
    <row r="740" spans="6:17" s="170" customFormat="1" x14ac:dyDescent="0.2">
      <c r="F740" s="187"/>
      <c r="G740" s="187"/>
      <c r="H740" s="188"/>
      <c r="I740" s="189"/>
      <c r="J740" s="190"/>
      <c r="K740" s="190"/>
      <c r="L740" s="190"/>
      <c r="M740" s="191"/>
      <c r="N740" s="172"/>
      <c r="O740" s="172"/>
      <c r="P740" s="172"/>
      <c r="Q740" s="172"/>
    </row>
    <row r="741" spans="6:17" s="170" customFormat="1" x14ac:dyDescent="0.2">
      <c r="F741" s="187"/>
      <c r="G741" s="187"/>
      <c r="H741" s="188"/>
      <c r="I741" s="189"/>
      <c r="J741" s="190"/>
      <c r="K741" s="190"/>
      <c r="L741" s="190"/>
      <c r="M741" s="191"/>
      <c r="N741" s="172"/>
      <c r="O741" s="172"/>
      <c r="P741" s="172"/>
      <c r="Q741" s="172"/>
    </row>
    <row r="742" spans="6:17" s="170" customFormat="1" x14ac:dyDescent="0.2">
      <c r="F742" s="187"/>
      <c r="G742" s="187"/>
      <c r="H742" s="188"/>
      <c r="I742" s="189"/>
      <c r="J742" s="190"/>
      <c r="K742" s="190"/>
      <c r="L742" s="190"/>
      <c r="M742" s="191"/>
      <c r="N742" s="172"/>
      <c r="O742" s="172"/>
      <c r="P742" s="172"/>
      <c r="Q742" s="172"/>
    </row>
    <row r="743" spans="6:17" s="170" customFormat="1" x14ac:dyDescent="0.2">
      <c r="F743" s="187"/>
      <c r="G743" s="187"/>
      <c r="H743" s="188"/>
      <c r="I743" s="189"/>
      <c r="J743" s="190"/>
      <c r="K743" s="190"/>
      <c r="L743" s="190"/>
      <c r="M743" s="191"/>
      <c r="N743" s="172"/>
      <c r="O743" s="172"/>
      <c r="P743" s="172"/>
      <c r="Q743" s="172"/>
    </row>
    <row r="744" spans="6:17" s="170" customFormat="1" x14ac:dyDescent="0.2">
      <c r="F744" s="187"/>
      <c r="G744" s="187"/>
      <c r="H744" s="188"/>
      <c r="I744" s="189"/>
      <c r="J744" s="190"/>
      <c r="K744" s="190"/>
      <c r="L744" s="190"/>
      <c r="M744" s="191"/>
      <c r="N744" s="172"/>
      <c r="O744" s="172"/>
      <c r="P744" s="172"/>
      <c r="Q744" s="172"/>
    </row>
    <row r="745" spans="6:17" s="170" customFormat="1" x14ac:dyDescent="0.2">
      <c r="F745" s="187"/>
      <c r="G745" s="187"/>
      <c r="H745" s="188"/>
      <c r="I745" s="189"/>
      <c r="J745" s="190"/>
      <c r="K745" s="190"/>
      <c r="L745" s="190"/>
      <c r="M745" s="191"/>
      <c r="N745" s="172"/>
      <c r="O745" s="172"/>
      <c r="P745" s="172"/>
      <c r="Q745" s="172"/>
    </row>
    <row r="746" spans="6:17" s="170" customFormat="1" x14ac:dyDescent="0.2">
      <c r="F746" s="187"/>
      <c r="G746" s="187"/>
      <c r="H746" s="188"/>
      <c r="I746" s="189"/>
      <c r="J746" s="190"/>
      <c r="K746" s="190"/>
      <c r="L746" s="190"/>
      <c r="M746" s="191"/>
      <c r="N746" s="172"/>
      <c r="O746" s="172"/>
      <c r="P746" s="172"/>
      <c r="Q746" s="172"/>
    </row>
    <row r="747" spans="6:17" s="170" customFormat="1" x14ac:dyDescent="0.2">
      <c r="F747" s="187"/>
      <c r="G747" s="187"/>
      <c r="H747" s="188"/>
      <c r="I747" s="189"/>
      <c r="J747" s="190"/>
      <c r="K747" s="190"/>
      <c r="L747" s="190"/>
      <c r="M747" s="191"/>
      <c r="N747" s="172"/>
      <c r="O747" s="172"/>
      <c r="P747" s="172"/>
      <c r="Q747" s="172"/>
    </row>
    <row r="748" spans="6:17" s="170" customFormat="1" x14ac:dyDescent="0.2">
      <c r="F748" s="187"/>
      <c r="G748" s="187"/>
      <c r="H748" s="188"/>
      <c r="I748" s="189"/>
      <c r="J748" s="190"/>
      <c r="K748" s="190"/>
      <c r="L748" s="190"/>
      <c r="M748" s="191"/>
      <c r="N748" s="172"/>
      <c r="O748" s="172"/>
      <c r="P748" s="172"/>
      <c r="Q748" s="172"/>
    </row>
    <row r="749" spans="6:17" s="170" customFormat="1" x14ac:dyDescent="0.2">
      <c r="F749" s="187"/>
      <c r="G749" s="187"/>
      <c r="H749" s="188"/>
      <c r="I749" s="189"/>
      <c r="J749" s="190"/>
      <c r="K749" s="190"/>
      <c r="L749" s="190"/>
      <c r="M749" s="191"/>
      <c r="N749" s="172"/>
      <c r="O749" s="172"/>
      <c r="P749" s="172"/>
      <c r="Q749" s="172"/>
    </row>
    <row r="750" spans="6:17" s="170" customFormat="1" x14ac:dyDescent="0.2">
      <c r="F750" s="187"/>
      <c r="G750" s="187"/>
      <c r="H750" s="188"/>
      <c r="I750" s="189"/>
      <c r="J750" s="190"/>
      <c r="K750" s="190"/>
      <c r="L750" s="190"/>
      <c r="M750" s="191"/>
      <c r="N750" s="172"/>
      <c r="O750" s="172"/>
      <c r="P750" s="172"/>
      <c r="Q750" s="172"/>
    </row>
    <row r="751" spans="6:17" s="170" customFormat="1" x14ac:dyDescent="0.2">
      <c r="F751" s="187"/>
      <c r="G751" s="187"/>
      <c r="H751" s="188"/>
      <c r="I751" s="189"/>
      <c r="J751" s="190"/>
      <c r="K751" s="190"/>
      <c r="L751" s="190"/>
      <c r="M751" s="191"/>
      <c r="N751" s="172"/>
      <c r="O751" s="172"/>
      <c r="P751" s="172"/>
      <c r="Q751" s="172"/>
    </row>
    <row r="752" spans="6:17" s="170" customFormat="1" x14ac:dyDescent="0.2">
      <c r="F752" s="187"/>
      <c r="G752" s="187"/>
      <c r="H752" s="188"/>
      <c r="I752" s="189"/>
      <c r="J752" s="190"/>
      <c r="K752" s="190"/>
      <c r="L752" s="190"/>
      <c r="M752" s="191"/>
      <c r="N752" s="172"/>
      <c r="O752" s="172"/>
      <c r="P752" s="172"/>
      <c r="Q752" s="172"/>
    </row>
    <row r="753" spans="6:17" s="170" customFormat="1" x14ac:dyDescent="0.2">
      <c r="F753" s="187"/>
      <c r="G753" s="187"/>
      <c r="H753" s="188"/>
      <c r="I753" s="189"/>
      <c r="J753" s="190"/>
      <c r="K753" s="190"/>
      <c r="L753" s="190"/>
      <c r="M753" s="191"/>
      <c r="N753" s="172"/>
      <c r="O753" s="172"/>
      <c r="P753" s="172"/>
      <c r="Q753" s="172"/>
    </row>
    <row r="754" spans="6:17" s="170" customFormat="1" x14ac:dyDescent="0.2">
      <c r="F754" s="187"/>
      <c r="G754" s="187"/>
      <c r="H754" s="188"/>
      <c r="I754" s="189"/>
      <c r="J754" s="190"/>
      <c r="K754" s="190"/>
      <c r="L754" s="190"/>
      <c r="M754" s="191"/>
      <c r="N754" s="172"/>
      <c r="O754" s="172"/>
      <c r="P754" s="172"/>
      <c r="Q754" s="172"/>
    </row>
    <row r="755" spans="6:17" s="170" customFormat="1" x14ac:dyDescent="0.2">
      <c r="F755" s="187"/>
      <c r="G755" s="187"/>
      <c r="H755" s="188"/>
      <c r="I755" s="189"/>
      <c r="J755" s="190"/>
      <c r="K755" s="190"/>
      <c r="L755" s="190"/>
      <c r="M755" s="191"/>
      <c r="N755" s="172"/>
      <c r="O755" s="172"/>
      <c r="P755" s="172"/>
      <c r="Q755" s="172"/>
    </row>
    <row r="756" spans="6:17" s="170" customFormat="1" x14ac:dyDescent="0.2">
      <c r="F756" s="187"/>
      <c r="G756" s="187"/>
      <c r="H756" s="188"/>
      <c r="I756" s="189"/>
      <c r="J756" s="190"/>
      <c r="K756" s="190"/>
      <c r="L756" s="190"/>
      <c r="M756" s="191"/>
      <c r="N756" s="172"/>
      <c r="O756" s="172"/>
      <c r="P756" s="172"/>
      <c r="Q756" s="172"/>
    </row>
    <row r="757" spans="6:17" s="170" customFormat="1" x14ac:dyDescent="0.2">
      <c r="F757" s="187"/>
      <c r="G757" s="187"/>
      <c r="H757" s="188"/>
      <c r="I757" s="189"/>
      <c r="J757" s="190"/>
      <c r="K757" s="190"/>
      <c r="L757" s="190"/>
      <c r="M757" s="191"/>
      <c r="N757" s="172"/>
      <c r="O757" s="172"/>
      <c r="P757" s="172"/>
      <c r="Q757" s="172"/>
    </row>
    <row r="758" spans="6:17" s="170" customFormat="1" x14ac:dyDescent="0.2">
      <c r="F758" s="187"/>
      <c r="G758" s="187"/>
      <c r="H758" s="188"/>
      <c r="I758" s="189"/>
      <c r="J758" s="190"/>
      <c r="K758" s="190"/>
      <c r="L758" s="190"/>
      <c r="M758" s="191"/>
      <c r="N758" s="172"/>
      <c r="O758" s="172"/>
      <c r="P758" s="172"/>
      <c r="Q758" s="172"/>
    </row>
    <row r="759" spans="6:17" s="170" customFormat="1" x14ac:dyDescent="0.2">
      <c r="F759" s="187"/>
      <c r="G759" s="187"/>
      <c r="H759" s="188"/>
      <c r="I759" s="189"/>
      <c r="J759" s="190"/>
      <c r="K759" s="190"/>
      <c r="L759" s="190"/>
      <c r="M759" s="191"/>
      <c r="N759" s="172"/>
      <c r="O759" s="172"/>
      <c r="P759" s="172"/>
      <c r="Q759" s="172"/>
    </row>
    <row r="760" spans="6:17" s="170" customFormat="1" x14ac:dyDescent="0.2">
      <c r="F760" s="187"/>
      <c r="G760" s="187"/>
      <c r="H760" s="188"/>
      <c r="I760" s="189"/>
      <c r="J760" s="190"/>
      <c r="K760" s="190"/>
      <c r="L760" s="190"/>
      <c r="M760" s="191"/>
      <c r="N760" s="172"/>
      <c r="O760" s="172"/>
      <c r="P760" s="172"/>
      <c r="Q760" s="172"/>
    </row>
    <row r="761" spans="6:17" s="170" customFormat="1" x14ac:dyDescent="0.2">
      <c r="F761" s="187"/>
      <c r="G761" s="187"/>
      <c r="H761" s="188"/>
      <c r="I761" s="189"/>
      <c r="J761" s="190"/>
      <c r="K761" s="190"/>
      <c r="L761" s="190"/>
      <c r="M761" s="191"/>
      <c r="N761" s="172"/>
      <c r="O761" s="172"/>
      <c r="P761" s="172"/>
      <c r="Q761" s="172"/>
    </row>
    <row r="762" spans="6:17" s="170" customFormat="1" x14ac:dyDescent="0.2">
      <c r="F762" s="187"/>
      <c r="G762" s="187"/>
      <c r="H762" s="188"/>
      <c r="I762" s="189"/>
      <c r="J762" s="190"/>
      <c r="K762" s="190"/>
      <c r="L762" s="190"/>
      <c r="M762" s="191"/>
      <c r="N762" s="172"/>
      <c r="O762" s="172"/>
      <c r="P762" s="172"/>
      <c r="Q762" s="172"/>
    </row>
    <row r="763" spans="6:17" s="170" customFormat="1" x14ac:dyDescent="0.2">
      <c r="F763" s="187"/>
      <c r="G763" s="187"/>
      <c r="H763" s="188"/>
      <c r="I763" s="189"/>
      <c r="J763" s="190"/>
      <c r="K763" s="190"/>
      <c r="L763" s="190"/>
      <c r="M763" s="191"/>
      <c r="N763" s="172"/>
      <c r="O763" s="172"/>
      <c r="P763" s="172"/>
      <c r="Q763" s="172"/>
    </row>
    <row r="764" spans="6:17" s="170" customFormat="1" x14ac:dyDescent="0.2">
      <c r="F764" s="187"/>
      <c r="G764" s="187"/>
      <c r="H764" s="188"/>
      <c r="I764" s="189"/>
      <c r="J764" s="190"/>
      <c r="K764" s="190"/>
      <c r="L764" s="190"/>
      <c r="M764" s="191"/>
      <c r="N764" s="172"/>
      <c r="O764" s="172"/>
      <c r="P764" s="172"/>
      <c r="Q764" s="172"/>
    </row>
    <row r="765" spans="6:17" s="170" customFormat="1" x14ac:dyDescent="0.2">
      <c r="F765" s="187"/>
      <c r="G765" s="187"/>
      <c r="H765" s="188"/>
      <c r="I765" s="189"/>
      <c r="J765" s="190"/>
      <c r="K765" s="190"/>
      <c r="L765" s="190"/>
      <c r="M765" s="191"/>
      <c r="N765" s="172"/>
      <c r="O765" s="172"/>
      <c r="P765" s="172"/>
      <c r="Q765" s="172"/>
    </row>
    <row r="766" spans="6:17" s="170" customFormat="1" x14ac:dyDescent="0.2">
      <c r="F766" s="187"/>
      <c r="G766" s="187"/>
      <c r="H766" s="188"/>
      <c r="I766" s="189"/>
      <c r="J766" s="190"/>
      <c r="K766" s="190"/>
      <c r="L766" s="190"/>
      <c r="M766" s="191"/>
      <c r="N766" s="172"/>
      <c r="O766" s="172"/>
      <c r="P766" s="172"/>
      <c r="Q766" s="172"/>
    </row>
    <row r="767" spans="6:17" s="170" customFormat="1" x14ac:dyDescent="0.2">
      <c r="F767" s="187"/>
      <c r="G767" s="187"/>
      <c r="H767" s="188"/>
      <c r="I767" s="189"/>
      <c r="J767" s="190"/>
      <c r="K767" s="190"/>
      <c r="L767" s="190"/>
      <c r="M767" s="191"/>
      <c r="N767" s="172"/>
      <c r="O767" s="172"/>
      <c r="P767" s="172"/>
      <c r="Q767" s="172"/>
    </row>
    <row r="768" spans="6:17" s="170" customFormat="1" x14ac:dyDescent="0.2">
      <c r="F768" s="187"/>
      <c r="G768" s="187"/>
      <c r="H768" s="188"/>
      <c r="I768" s="189"/>
      <c r="J768" s="190"/>
      <c r="K768" s="190"/>
      <c r="L768" s="190"/>
      <c r="M768" s="191"/>
      <c r="N768" s="172"/>
      <c r="O768" s="172"/>
      <c r="P768" s="172"/>
      <c r="Q768" s="172"/>
    </row>
    <row r="769" spans="6:17" s="170" customFormat="1" x14ac:dyDescent="0.2">
      <c r="F769" s="187"/>
      <c r="G769" s="187"/>
      <c r="H769" s="188"/>
      <c r="I769" s="189"/>
      <c r="J769" s="190"/>
      <c r="K769" s="190"/>
      <c r="L769" s="190"/>
      <c r="M769" s="191"/>
      <c r="N769" s="172"/>
      <c r="O769" s="172"/>
      <c r="P769" s="172"/>
      <c r="Q769" s="172"/>
    </row>
    <row r="770" spans="6:17" s="170" customFormat="1" x14ac:dyDescent="0.2">
      <c r="F770" s="187"/>
      <c r="G770" s="187"/>
      <c r="H770" s="188"/>
      <c r="I770" s="189"/>
      <c r="J770" s="190"/>
      <c r="K770" s="190"/>
      <c r="L770" s="190"/>
      <c r="M770" s="191"/>
      <c r="N770" s="172"/>
      <c r="O770" s="172"/>
      <c r="P770" s="172"/>
      <c r="Q770" s="172"/>
    </row>
    <row r="771" spans="6:17" s="170" customFormat="1" x14ac:dyDescent="0.2">
      <c r="F771" s="187"/>
      <c r="G771" s="187"/>
      <c r="H771" s="188"/>
      <c r="I771" s="189"/>
      <c r="J771" s="190"/>
      <c r="K771" s="190"/>
      <c r="L771" s="190"/>
      <c r="M771" s="191"/>
      <c r="N771" s="172"/>
      <c r="O771" s="172"/>
      <c r="P771" s="172"/>
      <c r="Q771" s="172"/>
    </row>
    <row r="772" spans="6:17" s="170" customFormat="1" x14ac:dyDescent="0.2">
      <c r="F772" s="187"/>
      <c r="G772" s="187"/>
      <c r="H772" s="188"/>
      <c r="I772" s="189"/>
      <c r="J772" s="190"/>
      <c r="K772" s="190"/>
      <c r="L772" s="190"/>
      <c r="M772" s="191"/>
      <c r="N772" s="172"/>
      <c r="O772" s="172"/>
      <c r="P772" s="172"/>
      <c r="Q772" s="172"/>
    </row>
    <row r="773" spans="6:17" s="170" customFormat="1" x14ac:dyDescent="0.2">
      <c r="F773" s="187"/>
      <c r="G773" s="187"/>
      <c r="H773" s="188"/>
      <c r="I773" s="189"/>
      <c r="J773" s="190"/>
      <c r="K773" s="190"/>
      <c r="L773" s="190"/>
      <c r="M773" s="191"/>
      <c r="N773" s="172"/>
      <c r="O773" s="172"/>
      <c r="P773" s="172"/>
      <c r="Q773" s="172"/>
    </row>
    <row r="774" spans="6:17" s="170" customFormat="1" x14ac:dyDescent="0.2">
      <c r="F774" s="187"/>
      <c r="G774" s="187"/>
      <c r="H774" s="188"/>
      <c r="I774" s="189"/>
      <c r="J774" s="190"/>
      <c r="K774" s="190"/>
      <c r="L774" s="190"/>
      <c r="M774" s="191"/>
      <c r="N774" s="172"/>
      <c r="O774" s="172"/>
      <c r="P774" s="172"/>
      <c r="Q774" s="172"/>
    </row>
    <row r="775" spans="6:17" s="170" customFormat="1" x14ac:dyDescent="0.2">
      <c r="F775" s="187"/>
      <c r="G775" s="187"/>
      <c r="H775" s="188"/>
      <c r="I775" s="189"/>
      <c r="J775" s="190"/>
      <c r="K775" s="190"/>
      <c r="L775" s="190"/>
      <c r="M775" s="191"/>
      <c r="N775" s="172"/>
      <c r="O775" s="172"/>
      <c r="P775" s="172"/>
      <c r="Q775" s="172"/>
    </row>
    <row r="776" spans="6:17" s="170" customFormat="1" x14ac:dyDescent="0.2">
      <c r="F776" s="187"/>
      <c r="G776" s="187"/>
      <c r="H776" s="188"/>
      <c r="I776" s="189"/>
      <c r="J776" s="190"/>
      <c r="K776" s="190"/>
      <c r="L776" s="190"/>
      <c r="M776" s="191"/>
      <c r="N776" s="172"/>
      <c r="O776" s="172"/>
      <c r="P776" s="172"/>
      <c r="Q776" s="172"/>
    </row>
    <row r="777" spans="6:17" s="170" customFormat="1" x14ac:dyDescent="0.2">
      <c r="F777" s="187"/>
      <c r="G777" s="187"/>
      <c r="H777" s="188"/>
      <c r="I777" s="189"/>
      <c r="J777" s="190"/>
      <c r="K777" s="190"/>
      <c r="L777" s="190"/>
      <c r="M777" s="191"/>
      <c r="N777" s="172"/>
      <c r="O777" s="172"/>
      <c r="P777" s="172"/>
      <c r="Q777" s="172"/>
    </row>
    <row r="778" spans="6:17" s="170" customFormat="1" x14ac:dyDescent="0.2">
      <c r="F778" s="187"/>
      <c r="G778" s="187"/>
      <c r="H778" s="188"/>
      <c r="I778" s="189"/>
      <c r="J778" s="190"/>
      <c r="K778" s="190"/>
      <c r="L778" s="190"/>
      <c r="M778" s="191"/>
      <c r="N778" s="172"/>
      <c r="O778" s="172"/>
      <c r="P778" s="172"/>
      <c r="Q778" s="172"/>
    </row>
    <row r="779" spans="6:17" s="170" customFormat="1" x14ac:dyDescent="0.2">
      <c r="F779" s="187"/>
      <c r="G779" s="187"/>
      <c r="H779" s="188"/>
      <c r="I779" s="189"/>
      <c r="J779" s="190"/>
      <c r="K779" s="190"/>
      <c r="L779" s="190"/>
      <c r="M779" s="191"/>
      <c r="N779" s="172"/>
      <c r="O779" s="172"/>
      <c r="P779" s="172"/>
      <c r="Q779" s="172"/>
    </row>
    <row r="780" spans="6:17" s="170" customFormat="1" x14ac:dyDescent="0.2">
      <c r="F780" s="187"/>
      <c r="G780" s="187"/>
      <c r="H780" s="188"/>
      <c r="I780" s="189"/>
      <c r="J780" s="190"/>
      <c r="K780" s="190"/>
      <c r="L780" s="190"/>
      <c r="M780" s="191"/>
      <c r="N780" s="172"/>
      <c r="O780" s="172"/>
      <c r="P780" s="172"/>
      <c r="Q780" s="172"/>
    </row>
    <row r="781" spans="6:17" s="170" customFormat="1" x14ac:dyDescent="0.2">
      <c r="F781" s="187"/>
      <c r="G781" s="187"/>
      <c r="H781" s="188"/>
      <c r="I781" s="189"/>
      <c r="J781" s="190"/>
      <c r="K781" s="190"/>
      <c r="L781" s="190"/>
      <c r="M781" s="191"/>
      <c r="N781" s="172"/>
      <c r="O781" s="172"/>
      <c r="P781" s="172"/>
      <c r="Q781" s="172"/>
    </row>
    <row r="782" spans="6:17" s="170" customFormat="1" x14ac:dyDescent="0.2">
      <c r="F782" s="187"/>
      <c r="G782" s="187"/>
      <c r="H782" s="188"/>
      <c r="I782" s="189"/>
      <c r="J782" s="190"/>
      <c r="K782" s="190"/>
      <c r="L782" s="190"/>
      <c r="M782" s="191"/>
      <c r="N782" s="172"/>
      <c r="O782" s="172"/>
      <c r="P782" s="172"/>
      <c r="Q782" s="172"/>
    </row>
    <row r="783" spans="6:17" s="170" customFormat="1" x14ac:dyDescent="0.2">
      <c r="F783" s="187"/>
      <c r="G783" s="187"/>
      <c r="H783" s="188"/>
      <c r="I783" s="189"/>
      <c r="J783" s="190"/>
      <c r="K783" s="190"/>
      <c r="L783" s="190"/>
      <c r="M783" s="191"/>
      <c r="N783" s="172"/>
      <c r="O783" s="172"/>
      <c r="P783" s="172"/>
      <c r="Q783" s="172"/>
    </row>
    <row r="784" spans="6:17" s="170" customFormat="1" x14ac:dyDescent="0.2">
      <c r="F784" s="187"/>
      <c r="G784" s="187"/>
      <c r="H784" s="188"/>
      <c r="I784" s="189"/>
      <c r="J784" s="190"/>
      <c r="K784" s="190"/>
      <c r="L784" s="190"/>
      <c r="M784" s="191"/>
      <c r="N784" s="172"/>
      <c r="O784" s="172"/>
      <c r="P784" s="172"/>
      <c r="Q784" s="172"/>
    </row>
    <row r="785" spans="6:17" s="170" customFormat="1" x14ac:dyDescent="0.2">
      <c r="F785" s="187"/>
      <c r="G785" s="187"/>
      <c r="H785" s="188"/>
      <c r="I785" s="189"/>
      <c r="J785" s="190"/>
      <c r="K785" s="190"/>
      <c r="L785" s="190"/>
      <c r="M785" s="191"/>
      <c r="N785" s="172"/>
      <c r="O785" s="172"/>
      <c r="P785" s="172"/>
      <c r="Q785" s="172"/>
    </row>
    <row r="786" spans="6:17" s="170" customFormat="1" x14ac:dyDescent="0.2">
      <c r="F786" s="187"/>
      <c r="G786" s="187"/>
      <c r="H786" s="188"/>
      <c r="I786" s="189"/>
      <c r="J786" s="190"/>
      <c r="K786" s="190"/>
      <c r="L786" s="190"/>
      <c r="M786" s="191"/>
      <c r="N786" s="172"/>
      <c r="O786" s="172"/>
      <c r="P786" s="172"/>
      <c r="Q786" s="172"/>
    </row>
    <row r="787" spans="6:17" s="170" customFormat="1" x14ac:dyDescent="0.2">
      <c r="F787" s="187"/>
      <c r="G787" s="187"/>
      <c r="H787" s="188"/>
      <c r="I787" s="189"/>
      <c r="J787" s="190"/>
      <c r="K787" s="190"/>
      <c r="L787" s="190"/>
      <c r="M787" s="191"/>
      <c r="N787" s="172"/>
      <c r="O787" s="172"/>
      <c r="P787" s="172"/>
      <c r="Q787" s="172"/>
    </row>
    <row r="788" spans="6:17" s="170" customFormat="1" x14ac:dyDescent="0.2">
      <c r="F788" s="187"/>
      <c r="G788" s="187"/>
      <c r="H788" s="188"/>
      <c r="I788" s="189"/>
      <c r="J788" s="190"/>
      <c r="K788" s="190"/>
      <c r="L788" s="190"/>
      <c r="M788" s="191"/>
      <c r="N788" s="172"/>
      <c r="O788" s="172"/>
      <c r="P788" s="172"/>
      <c r="Q788" s="172"/>
    </row>
    <row r="789" spans="6:17" s="170" customFormat="1" x14ac:dyDescent="0.2">
      <c r="F789" s="187"/>
      <c r="G789" s="187"/>
      <c r="H789" s="188"/>
      <c r="I789" s="189"/>
      <c r="J789" s="190"/>
      <c r="K789" s="190"/>
      <c r="L789" s="190"/>
      <c r="M789" s="191"/>
      <c r="N789" s="172"/>
      <c r="O789" s="172"/>
      <c r="P789" s="172"/>
      <c r="Q789" s="172"/>
    </row>
    <row r="790" spans="6:17" s="170" customFormat="1" x14ac:dyDescent="0.2">
      <c r="F790" s="187"/>
      <c r="G790" s="187"/>
      <c r="H790" s="188"/>
      <c r="I790" s="189"/>
      <c r="J790" s="190"/>
      <c r="K790" s="190"/>
      <c r="L790" s="190"/>
      <c r="M790" s="191"/>
      <c r="N790" s="172"/>
      <c r="O790" s="172"/>
      <c r="P790" s="172"/>
      <c r="Q790" s="172"/>
    </row>
    <row r="791" spans="6:17" s="170" customFormat="1" x14ac:dyDescent="0.2">
      <c r="F791" s="187"/>
      <c r="G791" s="187"/>
      <c r="H791" s="188"/>
      <c r="I791" s="189"/>
      <c r="J791" s="190"/>
      <c r="K791" s="190"/>
      <c r="L791" s="190"/>
      <c r="M791" s="191"/>
      <c r="N791" s="172"/>
      <c r="O791" s="172"/>
      <c r="P791" s="172"/>
      <c r="Q791" s="172"/>
    </row>
    <row r="792" spans="6:17" s="170" customFormat="1" x14ac:dyDescent="0.2">
      <c r="F792" s="187"/>
      <c r="G792" s="187"/>
      <c r="H792" s="188"/>
      <c r="I792" s="189"/>
      <c r="J792" s="190"/>
      <c r="K792" s="190"/>
      <c r="L792" s="190"/>
      <c r="M792" s="191"/>
      <c r="N792" s="172"/>
      <c r="O792" s="172"/>
      <c r="P792" s="172"/>
      <c r="Q792" s="172"/>
    </row>
    <row r="793" spans="6:17" s="170" customFormat="1" x14ac:dyDescent="0.2">
      <c r="F793" s="187"/>
      <c r="G793" s="187"/>
      <c r="H793" s="188"/>
      <c r="I793" s="189"/>
      <c r="J793" s="190"/>
      <c r="K793" s="190"/>
      <c r="L793" s="190"/>
      <c r="M793" s="191"/>
      <c r="N793" s="172"/>
      <c r="O793" s="172"/>
      <c r="P793" s="172"/>
      <c r="Q793" s="172"/>
    </row>
    <row r="794" spans="6:17" s="170" customFormat="1" x14ac:dyDescent="0.2">
      <c r="F794" s="187"/>
      <c r="G794" s="187"/>
      <c r="H794" s="188"/>
      <c r="I794" s="189"/>
      <c r="J794" s="190"/>
      <c r="K794" s="190"/>
      <c r="L794" s="190"/>
      <c r="M794" s="191"/>
      <c r="N794" s="172"/>
      <c r="O794" s="172"/>
      <c r="P794" s="172"/>
      <c r="Q794" s="172"/>
    </row>
    <row r="795" spans="6:17" s="170" customFormat="1" x14ac:dyDescent="0.2">
      <c r="F795" s="187"/>
      <c r="G795" s="187"/>
      <c r="H795" s="188"/>
      <c r="I795" s="189"/>
      <c r="J795" s="190"/>
      <c r="K795" s="190"/>
      <c r="L795" s="190"/>
      <c r="M795" s="191"/>
      <c r="N795" s="172"/>
      <c r="O795" s="172"/>
      <c r="P795" s="172"/>
      <c r="Q795" s="172"/>
    </row>
    <row r="796" spans="6:17" s="170" customFormat="1" x14ac:dyDescent="0.2">
      <c r="F796" s="187"/>
      <c r="G796" s="187"/>
      <c r="H796" s="188"/>
      <c r="I796" s="189"/>
      <c r="J796" s="190"/>
      <c r="K796" s="190"/>
      <c r="L796" s="190"/>
      <c r="M796" s="191"/>
      <c r="N796" s="172"/>
      <c r="O796" s="172"/>
      <c r="P796" s="172"/>
      <c r="Q796" s="172"/>
    </row>
    <row r="797" spans="6:17" s="170" customFormat="1" x14ac:dyDescent="0.2">
      <c r="F797" s="187"/>
      <c r="G797" s="187"/>
      <c r="H797" s="188"/>
      <c r="I797" s="189"/>
      <c r="J797" s="190"/>
      <c r="K797" s="190"/>
      <c r="L797" s="190"/>
      <c r="M797" s="191"/>
      <c r="N797" s="172"/>
      <c r="O797" s="172"/>
      <c r="P797" s="172"/>
      <c r="Q797" s="172"/>
    </row>
    <row r="798" spans="6:17" s="170" customFormat="1" x14ac:dyDescent="0.2">
      <c r="F798" s="187"/>
      <c r="G798" s="187"/>
      <c r="H798" s="188"/>
      <c r="I798" s="189"/>
      <c r="J798" s="190"/>
      <c r="K798" s="190"/>
      <c r="L798" s="190"/>
      <c r="M798" s="191"/>
      <c r="N798" s="172"/>
      <c r="O798" s="172"/>
      <c r="P798" s="172"/>
      <c r="Q798" s="172"/>
    </row>
    <row r="799" spans="6:17" s="170" customFormat="1" x14ac:dyDescent="0.2">
      <c r="F799" s="187"/>
      <c r="G799" s="187"/>
      <c r="H799" s="188"/>
      <c r="I799" s="189"/>
      <c r="J799" s="190"/>
      <c r="K799" s="190"/>
      <c r="L799" s="190"/>
      <c r="M799" s="191"/>
      <c r="N799" s="172"/>
      <c r="O799" s="172"/>
      <c r="P799" s="172"/>
      <c r="Q799" s="172"/>
    </row>
    <row r="800" spans="6:17" s="170" customFormat="1" x14ac:dyDescent="0.2">
      <c r="F800" s="187"/>
      <c r="G800" s="187"/>
      <c r="H800" s="188"/>
      <c r="I800" s="189"/>
      <c r="J800" s="190"/>
      <c r="K800" s="190"/>
      <c r="L800" s="190"/>
      <c r="M800" s="191"/>
      <c r="N800" s="172"/>
      <c r="O800" s="172"/>
      <c r="P800" s="172"/>
      <c r="Q800" s="172"/>
    </row>
    <row r="801" spans="6:17" s="170" customFormat="1" x14ac:dyDescent="0.2">
      <c r="F801" s="187"/>
      <c r="G801" s="187"/>
      <c r="H801" s="188"/>
      <c r="I801" s="189"/>
      <c r="J801" s="190"/>
      <c r="K801" s="190"/>
      <c r="L801" s="190"/>
      <c r="M801" s="191"/>
      <c r="N801" s="172"/>
      <c r="O801" s="172"/>
      <c r="P801" s="172"/>
      <c r="Q801" s="172"/>
    </row>
    <row r="802" spans="6:17" s="170" customFormat="1" x14ac:dyDescent="0.2">
      <c r="F802" s="187"/>
      <c r="G802" s="187"/>
      <c r="H802" s="188"/>
      <c r="I802" s="189"/>
      <c r="J802" s="190"/>
      <c r="K802" s="190"/>
      <c r="L802" s="190"/>
      <c r="M802" s="191"/>
      <c r="N802" s="172"/>
      <c r="O802" s="172"/>
      <c r="P802" s="172"/>
      <c r="Q802" s="172"/>
    </row>
    <row r="803" spans="6:17" s="170" customFormat="1" x14ac:dyDescent="0.2">
      <c r="F803" s="187"/>
      <c r="G803" s="187"/>
      <c r="H803" s="188"/>
      <c r="I803" s="189"/>
      <c r="J803" s="190"/>
      <c r="K803" s="190"/>
      <c r="L803" s="190"/>
      <c r="M803" s="191"/>
      <c r="N803" s="172"/>
      <c r="O803" s="172"/>
      <c r="P803" s="172"/>
      <c r="Q803" s="172"/>
    </row>
    <row r="804" spans="6:17" s="170" customFormat="1" x14ac:dyDescent="0.2">
      <c r="F804" s="187"/>
      <c r="G804" s="187"/>
      <c r="H804" s="188"/>
      <c r="I804" s="189"/>
      <c r="J804" s="190"/>
      <c r="K804" s="190"/>
      <c r="L804" s="190"/>
      <c r="M804" s="191"/>
      <c r="N804" s="172"/>
      <c r="O804" s="172"/>
      <c r="P804" s="172"/>
      <c r="Q804" s="172"/>
    </row>
    <row r="805" spans="6:17" s="170" customFormat="1" x14ac:dyDescent="0.2">
      <c r="F805" s="187"/>
      <c r="G805" s="187"/>
      <c r="H805" s="188"/>
      <c r="I805" s="189"/>
      <c r="J805" s="190"/>
      <c r="K805" s="190"/>
      <c r="L805" s="190"/>
      <c r="M805" s="191"/>
      <c r="N805" s="172"/>
      <c r="O805" s="172"/>
      <c r="P805" s="172"/>
      <c r="Q805" s="172"/>
    </row>
    <row r="806" spans="6:17" s="170" customFormat="1" x14ac:dyDescent="0.2">
      <c r="F806" s="187"/>
      <c r="G806" s="187"/>
      <c r="H806" s="188"/>
      <c r="I806" s="189"/>
      <c r="J806" s="190"/>
      <c r="K806" s="190"/>
      <c r="L806" s="190"/>
      <c r="M806" s="191"/>
      <c r="N806" s="172"/>
      <c r="O806" s="172"/>
      <c r="P806" s="172"/>
      <c r="Q806" s="172"/>
    </row>
    <row r="807" spans="6:17" s="170" customFormat="1" x14ac:dyDescent="0.2">
      <c r="F807" s="187"/>
      <c r="G807" s="187"/>
      <c r="H807" s="188"/>
      <c r="I807" s="189"/>
      <c r="J807" s="190"/>
      <c r="K807" s="190"/>
      <c r="L807" s="190"/>
      <c r="M807" s="191"/>
      <c r="N807" s="172"/>
      <c r="O807" s="172"/>
      <c r="P807" s="172"/>
      <c r="Q807" s="172"/>
    </row>
    <row r="808" spans="6:17" s="170" customFormat="1" x14ac:dyDescent="0.2">
      <c r="F808" s="187"/>
      <c r="G808" s="187"/>
      <c r="H808" s="188"/>
      <c r="I808" s="189"/>
      <c r="J808" s="190"/>
      <c r="K808" s="190"/>
      <c r="L808" s="190"/>
      <c r="M808" s="191"/>
      <c r="N808" s="172"/>
      <c r="O808" s="172"/>
      <c r="P808" s="172"/>
      <c r="Q808" s="172"/>
    </row>
    <row r="809" spans="6:17" s="170" customFormat="1" x14ac:dyDescent="0.2">
      <c r="F809" s="187"/>
      <c r="G809" s="187"/>
      <c r="H809" s="188"/>
      <c r="I809" s="189"/>
      <c r="J809" s="190"/>
      <c r="K809" s="190"/>
      <c r="L809" s="190"/>
      <c r="M809" s="191"/>
      <c r="N809" s="172"/>
      <c r="O809" s="172"/>
      <c r="P809" s="172"/>
      <c r="Q809" s="172"/>
    </row>
    <row r="810" spans="6:17" s="170" customFormat="1" x14ac:dyDescent="0.2">
      <c r="F810" s="187"/>
      <c r="G810" s="187"/>
      <c r="H810" s="188"/>
      <c r="I810" s="189"/>
      <c r="J810" s="190"/>
      <c r="K810" s="190"/>
      <c r="L810" s="190"/>
      <c r="M810" s="191"/>
      <c r="N810" s="172"/>
      <c r="O810" s="172"/>
      <c r="P810" s="172"/>
      <c r="Q810" s="172"/>
    </row>
    <row r="811" spans="6:17" s="170" customFormat="1" x14ac:dyDescent="0.2">
      <c r="F811" s="187"/>
      <c r="G811" s="187"/>
      <c r="H811" s="188"/>
      <c r="I811" s="189"/>
      <c r="J811" s="190"/>
      <c r="K811" s="190"/>
      <c r="L811" s="190"/>
      <c r="M811" s="191"/>
      <c r="N811" s="172"/>
      <c r="O811" s="172"/>
      <c r="P811" s="172"/>
      <c r="Q811" s="172"/>
    </row>
    <row r="812" spans="6:17" s="170" customFormat="1" x14ac:dyDescent="0.2">
      <c r="F812" s="187"/>
      <c r="G812" s="187"/>
      <c r="H812" s="188"/>
      <c r="I812" s="189"/>
      <c r="J812" s="190"/>
      <c r="K812" s="190"/>
      <c r="L812" s="190"/>
      <c r="M812" s="191"/>
      <c r="N812" s="172"/>
      <c r="O812" s="172"/>
      <c r="P812" s="172"/>
      <c r="Q812" s="172"/>
    </row>
    <row r="813" spans="6:17" s="170" customFormat="1" x14ac:dyDescent="0.2">
      <c r="F813" s="187"/>
      <c r="G813" s="187"/>
      <c r="H813" s="188"/>
      <c r="I813" s="189"/>
      <c r="J813" s="190"/>
      <c r="K813" s="190"/>
      <c r="L813" s="190"/>
      <c r="M813" s="191"/>
      <c r="N813" s="172"/>
      <c r="O813" s="172"/>
      <c r="P813" s="172"/>
      <c r="Q813" s="172"/>
    </row>
    <row r="814" spans="6:17" s="170" customFormat="1" x14ac:dyDescent="0.2">
      <c r="F814" s="187"/>
      <c r="G814" s="187"/>
      <c r="H814" s="188"/>
      <c r="I814" s="189"/>
      <c r="J814" s="190"/>
      <c r="K814" s="190"/>
      <c r="L814" s="190"/>
      <c r="M814" s="191"/>
      <c r="N814" s="172"/>
      <c r="O814" s="172"/>
      <c r="P814" s="172"/>
      <c r="Q814" s="172"/>
    </row>
    <row r="815" spans="6:17" s="170" customFormat="1" x14ac:dyDescent="0.2">
      <c r="F815" s="187"/>
      <c r="G815" s="187"/>
      <c r="H815" s="188"/>
      <c r="I815" s="189"/>
      <c r="J815" s="190"/>
      <c r="K815" s="190"/>
      <c r="L815" s="190"/>
      <c r="M815" s="191"/>
      <c r="N815" s="172"/>
      <c r="O815" s="172"/>
      <c r="P815" s="172"/>
      <c r="Q815" s="172"/>
    </row>
    <row r="816" spans="6:17" s="170" customFormat="1" x14ac:dyDescent="0.2">
      <c r="F816" s="187"/>
      <c r="G816" s="187"/>
      <c r="H816" s="188"/>
      <c r="I816" s="189"/>
      <c r="J816" s="190"/>
      <c r="K816" s="190"/>
      <c r="L816" s="190"/>
      <c r="M816" s="191"/>
      <c r="N816" s="172"/>
      <c r="O816" s="172"/>
      <c r="P816" s="172"/>
      <c r="Q816" s="172"/>
    </row>
    <row r="817" spans="6:17" s="170" customFormat="1" x14ac:dyDescent="0.2">
      <c r="F817" s="187"/>
      <c r="G817" s="187"/>
      <c r="H817" s="188"/>
      <c r="I817" s="189"/>
      <c r="J817" s="190"/>
      <c r="K817" s="190"/>
      <c r="L817" s="190"/>
      <c r="M817" s="191"/>
      <c r="N817" s="172"/>
      <c r="O817" s="172"/>
      <c r="P817" s="172"/>
      <c r="Q817" s="172"/>
    </row>
    <row r="818" spans="6:17" s="170" customFormat="1" x14ac:dyDescent="0.2">
      <c r="F818" s="187"/>
      <c r="G818" s="187"/>
      <c r="H818" s="188"/>
      <c r="I818" s="189"/>
      <c r="J818" s="190"/>
      <c r="K818" s="190"/>
      <c r="L818" s="190"/>
      <c r="M818" s="191"/>
      <c r="N818" s="172"/>
      <c r="O818" s="172"/>
      <c r="P818" s="172"/>
      <c r="Q818" s="172"/>
    </row>
    <row r="819" spans="6:17" s="170" customFormat="1" x14ac:dyDescent="0.2">
      <c r="F819" s="187"/>
      <c r="G819" s="187"/>
      <c r="H819" s="188"/>
      <c r="I819" s="189"/>
      <c r="J819" s="190"/>
      <c r="K819" s="190"/>
      <c r="L819" s="190"/>
      <c r="M819" s="191"/>
      <c r="N819" s="172"/>
      <c r="O819" s="172"/>
      <c r="P819" s="172"/>
      <c r="Q819" s="172"/>
    </row>
    <row r="820" spans="6:17" s="170" customFormat="1" x14ac:dyDescent="0.2">
      <c r="F820" s="187"/>
      <c r="G820" s="187"/>
      <c r="H820" s="188"/>
      <c r="I820" s="189"/>
      <c r="J820" s="190"/>
      <c r="K820" s="190"/>
      <c r="L820" s="190"/>
      <c r="M820" s="191"/>
      <c r="N820" s="172"/>
      <c r="O820" s="172"/>
      <c r="P820" s="172"/>
      <c r="Q820" s="172"/>
    </row>
    <row r="821" spans="6:17" s="170" customFormat="1" x14ac:dyDescent="0.2">
      <c r="F821" s="187"/>
      <c r="G821" s="187"/>
      <c r="H821" s="188"/>
      <c r="I821" s="189"/>
      <c r="J821" s="190"/>
      <c r="K821" s="190"/>
      <c r="L821" s="190"/>
      <c r="M821" s="191"/>
      <c r="N821" s="172"/>
      <c r="O821" s="172"/>
      <c r="P821" s="172"/>
      <c r="Q821" s="172"/>
    </row>
    <row r="822" spans="6:17" s="170" customFormat="1" x14ac:dyDescent="0.2">
      <c r="F822" s="187"/>
      <c r="G822" s="187"/>
      <c r="H822" s="188"/>
      <c r="I822" s="189"/>
      <c r="J822" s="190"/>
      <c r="K822" s="190"/>
      <c r="L822" s="190"/>
      <c r="M822" s="191"/>
      <c r="N822" s="172"/>
      <c r="O822" s="172"/>
      <c r="P822" s="172"/>
      <c r="Q822" s="172"/>
    </row>
    <row r="823" spans="6:17" s="170" customFormat="1" x14ac:dyDescent="0.2">
      <c r="F823" s="187"/>
      <c r="G823" s="187"/>
      <c r="H823" s="188"/>
      <c r="I823" s="189"/>
      <c r="J823" s="190"/>
      <c r="K823" s="190"/>
      <c r="L823" s="190"/>
      <c r="M823" s="191"/>
      <c r="N823" s="172"/>
      <c r="O823" s="172"/>
      <c r="P823" s="172"/>
      <c r="Q823" s="172"/>
    </row>
    <row r="824" spans="6:17" s="170" customFormat="1" x14ac:dyDescent="0.2">
      <c r="F824" s="187"/>
      <c r="G824" s="187"/>
      <c r="H824" s="188"/>
      <c r="I824" s="189"/>
      <c r="J824" s="190"/>
      <c r="K824" s="190"/>
      <c r="L824" s="190"/>
      <c r="M824" s="191"/>
      <c r="N824" s="172"/>
      <c r="O824" s="172"/>
      <c r="P824" s="172"/>
      <c r="Q824" s="172"/>
    </row>
    <row r="825" spans="6:17" s="170" customFormat="1" x14ac:dyDescent="0.2">
      <c r="F825" s="187"/>
      <c r="G825" s="187"/>
      <c r="H825" s="188"/>
      <c r="I825" s="189"/>
      <c r="J825" s="190"/>
      <c r="K825" s="190"/>
      <c r="L825" s="190"/>
      <c r="M825" s="191"/>
      <c r="N825" s="172"/>
      <c r="O825" s="172"/>
      <c r="P825" s="172"/>
      <c r="Q825" s="172"/>
    </row>
    <row r="826" spans="6:17" s="170" customFormat="1" x14ac:dyDescent="0.2">
      <c r="F826" s="187"/>
      <c r="G826" s="187"/>
      <c r="H826" s="188"/>
      <c r="I826" s="189"/>
      <c r="J826" s="190"/>
      <c r="K826" s="190"/>
      <c r="L826" s="190"/>
      <c r="M826" s="191"/>
      <c r="N826" s="172"/>
      <c r="O826" s="172"/>
      <c r="P826" s="172"/>
      <c r="Q826" s="172"/>
    </row>
    <row r="827" spans="6:17" s="170" customFormat="1" x14ac:dyDescent="0.2">
      <c r="F827" s="187"/>
      <c r="G827" s="187"/>
      <c r="H827" s="188"/>
      <c r="I827" s="189"/>
      <c r="J827" s="190"/>
      <c r="K827" s="190"/>
      <c r="L827" s="190"/>
      <c r="M827" s="191"/>
      <c r="N827" s="172"/>
      <c r="O827" s="172"/>
      <c r="P827" s="172"/>
      <c r="Q827" s="172"/>
    </row>
    <row r="828" spans="6:17" s="170" customFormat="1" x14ac:dyDescent="0.2">
      <c r="F828" s="187"/>
      <c r="G828" s="187"/>
      <c r="H828" s="188"/>
      <c r="I828" s="189"/>
      <c r="J828" s="190"/>
      <c r="K828" s="190"/>
      <c r="L828" s="190"/>
      <c r="M828" s="191"/>
      <c r="N828" s="172"/>
      <c r="O828" s="172"/>
      <c r="P828" s="172"/>
      <c r="Q828" s="172"/>
    </row>
    <row r="829" spans="6:17" s="170" customFormat="1" x14ac:dyDescent="0.2">
      <c r="F829" s="187"/>
      <c r="G829" s="187"/>
      <c r="H829" s="188"/>
      <c r="I829" s="189"/>
      <c r="J829" s="190"/>
      <c r="K829" s="190"/>
      <c r="L829" s="190"/>
      <c r="M829" s="191"/>
      <c r="N829" s="172"/>
      <c r="O829" s="172"/>
      <c r="P829" s="172"/>
      <c r="Q829" s="172"/>
    </row>
    <row r="830" spans="6:17" s="170" customFormat="1" x14ac:dyDescent="0.2">
      <c r="F830" s="187"/>
      <c r="G830" s="187"/>
      <c r="H830" s="188"/>
      <c r="I830" s="189"/>
      <c r="J830" s="190"/>
      <c r="K830" s="190"/>
      <c r="L830" s="190"/>
      <c r="M830" s="191"/>
      <c r="N830" s="172"/>
      <c r="O830" s="172"/>
      <c r="P830" s="172"/>
      <c r="Q830" s="172"/>
    </row>
    <row r="831" spans="6:17" s="170" customFormat="1" x14ac:dyDescent="0.2">
      <c r="F831" s="187"/>
      <c r="G831" s="187"/>
      <c r="H831" s="188"/>
      <c r="I831" s="189"/>
      <c r="J831" s="190"/>
      <c r="K831" s="190"/>
      <c r="L831" s="190"/>
      <c r="M831" s="191"/>
      <c r="N831" s="172"/>
      <c r="O831" s="172"/>
      <c r="P831" s="172"/>
      <c r="Q831" s="172"/>
    </row>
    <row r="832" spans="6:17" s="170" customFormat="1" x14ac:dyDescent="0.2">
      <c r="F832" s="187"/>
      <c r="G832" s="187"/>
      <c r="H832" s="188"/>
      <c r="I832" s="189"/>
      <c r="J832" s="190"/>
      <c r="K832" s="190"/>
      <c r="L832" s="190"/>
      <c r="M832" s="191"/>
      <c r="N832" s="172"/>
      <c r="O832" s="172"/>
      <c r="P832" s="172"/>
      <c r="Q832" s="172"/>
    </row>
    <row r="833" spans="6:17" s="170" customFormat="1" x14ac:dyDescent="0.2">
      <c r="F833" s="187"/>
      <c r="G833" s="187"/>
      <c r="H833" s="188"/>
      <c r="I833" s="189"/>
      <c r="J833" s="190"/>
      <c r="K833" s="190"/>
      <c r="L833" s="190"/>
      <c r="M833" s="191"/>
      <c r="N833" s="172"/>
      <c r="O833" s="172"/>
      <c r="P833" s="172"/>
      <c r="Q833" s="172"/>
    </row>
    <row r="834" spans="6:17" s="170" customFormat="1" x14ac:dyDescent="0.2">
      <c r="F834" s="187"/>
      <c r="G834" s="187"/>
      <c r="H834" s="188"/>
      <c r="I834" s="189"/>
      <c r="J834" s="190"/>
      <c r="K834" s="190"/>
      <c r="L834" s="190"/>
      <c r="M834" s="191"/>
      <c r="N834" s="172"/>
      <c r="O834" s="172"/>
      <c r="P834" s="172"/>
      <c r="Q834" s="172"/>
    </row>
    <row r="835" spans="6:17" s="170" customFormat="1" x14ac:dyDescent="0.2">
      <c r="F835" s="187"/>
      <c r="G835" s="187"/>
      <c r="H835" s="188"/>
      <c r="I835" s="189"/>
      <c r="J835" s="190"/>
      <c r="K835" s="190"/>
      <c r="L835" s="190"/>
      <c r="M835" s="191"/>
      <c r="N835" s="172"/>
      <c r="O835" s="172"/>
      <c r="P835" s="172"/>
      <c r="Q835" s="172"/>
    </row>
    <row r="836" spans="6:17" s="170" customFormat="1" x14ac:dyDescent="0.2">
      <c r="F836" s="187"/>
      <c r="G836" s="187"/>
      <c r="H836" s="188"/>
      <c r="I836" s="189"/>
      <c r="J836" s="190"/>
      <c r="K836" s="190"/>
      <c r="L836" s="190"/>
      <c r="M836" s="191"/>
      <c r="N836" s="172"/>
      <c r="O836" s="172"/>
      <c r="P836" s="172"/>
      <c r="Q836" s="172"/>
    </row>
    <row r="837" spans="6:17" s="170" customFormat="1" x14ac:dyDescent="0.2">
      <c r="F837" s="187"/>
      <c r="G837" s="187"/>
      <c r="H837" s="188"/>
      <c r="I837" s="189"/>
      <c r="J837" s="190"/>
      <c r="K837" s="190"/>
      <c r="L837" s="190"/>
      <c r="M837" s="191"/>
      <c r="N837" s="172"/>
      <c r="O837" s="172"/>
      <c r="P837" s="172"/>
      <c r="Q837" s="172"/>
    </row>
    <row r="838" spans="6:17" s="170" customFormat="1" x14ac:dyDescent="0.2">
      <c r="F838" s="187"/>
      <c r="G838" s="187"/>
      <c r="H838" s="188"/>
      <c r="I838" s="189"/>
      <c r="J838" s="190"/>
      <c r="K838" s="190"/>
      <c r="L838" s="190"/>
      <c r="M838" s="191"/>
      <c r="N838" s="172"/>
      <c r="O838" s="172"/>
      <c r="P838" s="172"/>
      <c r="Q838" s="172"/>
    </row>
    <row r="839" spans="6:17" s="170" customFormat="1" x14ac:dyDescent="0.2">
      <c r="F839" s="187"/>
      <c r="G839" s="187"/>
      <c r="H839" s="188"/>
      <c r="I839" s="189"/>
      <c r="J839" s="190"/>
      <c r="K839" s="190"/>
      <c r="L839" s="190"/>
      <c r="M839" s="191"/>
      <c r="N839" s="172"/>
      <c r="O839" s="172"/>
      <c r="P839" s="172"/>
      <c r="Q839" s="172"/>
    </row>
    <row r="840" spans="6:17" s="170" customFormat="1" x14ac:dyDescent="0.2">
      <c r="F840" s="187"/>
      <c r="G840" s="187"/>
      <c r="H840" s="188"/>
      <c r="I840" s="189"/>
      <c r="J840" s="190"/>
      <c r="K840" s="190"/>
      <c r="L840" s="190"/>
      <c r="M840" s="191"/>
      <c r="N840" s="172"/>
      <c r="O840" s="172"/>
      <c r="P840" s="172"/>
      <c r="Q840" s="172"/>
    </row>
    <row r="841" spans="6:17" s="170" customFormat="1" x14ac:dyDescent="0.2">
      <c r="F841" s="187"/>
      <c r="G841" s="187"/>
      <c r="H841" s="188"/>
      <c r="I841" s="189"/>
      <c r="J841" s="190"/>
      <c r="K841" s="190"/>
      <c r="L841" s="190"/>
      <c r="M841" s="191"/>
      <c r="N841" s="172"/>
      <c r="O841" s="172"/>
      <c r="P841" s="172"/>
      <c r="Q841" s="172"/>
    </row>
    <row r="842" spans="6:17" s="170" customFormat="1" x14ac:dyDescent="0.2">
      <c r="F842" s="187"/>
      <c r="G842" s="187"/>
      <c r="H842" s="188"/>
      <c r="I842" s="189"/>
      <c r="J842" s="190"/>
      <c r="K842" s="190"/>
      <c r="L842" s="190"/>
      <c r="M842" s="191"/>
      <c r="N842" s="172"/>
      <c r="O842" s="172"/>
      <c r="P842" s="172"/>
      <c r="Q842" s="172"/>
    </row>
    <row r="843" spans="6:17" s="170" customFormat="1" x14ac:dyDescent="0.2">
      <c r="F843" s="187"/>
      <c r="G843" s="187"/>
      <c r="H843" s="188"/>
      <c r="I843" s="189"/>
      <c r="J843" s="190"/>
      <c r="K843" s="190"/>
      <c r="L843" s="190"/>
      <c r="M843" s="191"/>
      <c r="N843" s="172"/>
      <c r="O843" s="172"/>
      <c r="P843" s="172"/>
      <c r="Q843" s="172"/>
    </row>
    <row r="844" spans="6:17" s="170" customFormat="1" x14ac:dyDescent="0.2">
      <c r="F844" s="187"/>
      <c r="G844" s="187"/>
      <c r="H844" s="188"/>
      <c r="I844" s="189"/>
      <c r="J844" s="190"/>
      <c r="K844" s="190"/>
      <c r="L844" s="190"/>
      <c r="M844" s="191"/>
      <c r="N844" s="172"/>
      <c r="O844" s="172"/>
      <c r="P844" s="172"/>
      <c r="Q844" s="172"/>
    </row>
    <row r="845" spans="6:17" s="170" customFormat="1" x14ac:dyDescent="0.2">
      <c r="F845" s="187"/>
      <c r="G845" s="187"/>
      <c r="H845" s="188"/>
      <c r="I845" s="189"/>
      <c r="J845" s="190"/>
      <c r="K845" s="190"/>
      <c r="L845" s="190"/>
      <c r="M845" s="191"/>
      <c r="N845" s="172"/>
      <c r="O845" s="172"/>
      <c r="P845" s="172"/>
      <c r="Q845" s="172"/>
    </row>
    <row r="846" spans="6:17" s="170" customFormat="1" x14ac:dyDescent="0.2">
      <c r="F846" s="187"/>
      <c r="G846" s="187"/>
      <c r="H846" s="188"/>
      <c r="I846" s="189"/>
      <c r="J846" s="190"/>
      <c r="K846" s="190"/>
      <c r="L846" s="190"/>
      <c r="M846" s="191"/>
      <c r="N846" s="172"/>
      <c r="O846" s="172"/>
      <c r="P846" s="172"/>
      <c r="Q846" s="172"/>
    </row>
    <row r="847" spans="6:17" s="170" customFormat="1" x14ac:dyDescent="0.2">
      <c r="F847" s="187"/>
      <c r="G847" s="187"/>
      <c r="H847" s="188"/>
      <c r="I847" s="189"/>
      <c r="J847" s="190"/>
      <c r="K847" s="190"/>
      <c r="L847" s="190"/>
      <c r="M847" s="191"/>
      <c r="N847" s="172"/>
      <c r="O847" s="172"/>
      <c r="P847" s="172"/>
      <c r="Q847" s="172"/>
    </row>
    <row r="848" spans="6:17" s="170" customFormat="1" x14ac:dyDescent="0.2">
      <c r="F848" s="187"/>
      <c r="G848" s="187"/>
      <c r="H848" s="188"/>
      <c r="I848" s="189"/>
      <c r="J848" s="190"/>
      <c r="K848" s="190"/>
      <c r="L848" s="190"/>
      <c r="M848" s="191"/>
      <c r="N848" s="172"/>
      <c r="O848" s="172"/>
      <c r="P848" s="172"/>
      <c r="Q848" s="172"/>
    </row>
    <row r="849" spans="6:17" s="170" customFormat="1" x14ac:dyDescent="0.2">
      <c r="F849" s="187"/>
      <c r="G849" s="187"/>
      <c r="H849" s="188"/>
      <c r="I849" s="189"/>
      <c r="J849" s="190"/>
      <c r="K849" s="190"/>
      <c r="L849" s="190"/>
      <c r="M849" s="191"/>
      <c r="N849" s="172"/>
      <c r="O849" s="172"/>
      <c r="P849" s="172"/>
      <c r="Q849" s="172"/>
    </row>
    <row r="850" spans="6:17" s="170" customFormat="1" x14ac:dyDescent="0.2">
      <c r="F850" s="187"/>
      <c r="G850" s="187"/>
      <c r="H850" s="188"/>
      <c r="I850" s="189"/>
      <c r="J850" s="190"/>
      <c r="K850" s="190"/>
      <c r="L850" s="190"/>
      <c r="M850" s="191"/>
      <c r="N850" s="172"/>
      <c r="O850" s="172"/>
      <c r="P850" s="172"/>
      <c r="Q850" s="172"/>
    </row>
    <row r="851" spans="6:17" s="170" customFormat="1" x14ac:dyDescent="0.2">
      <c r="F851" s="187"/>
      <c r="G851" s="187"/>
      <c r="H851" s="188"/>
      <c r="I851" s="189"/>
      <c r="J851" s="190"/>
      <c r="K851" s="190"/>
      <c r="L851" s="190"/>
      <c r="M851" s="191"/>
      <c r="N851" s="172"/>
      <c r="O851" s="172"/>
      <c r="P851" s="172"/>
      <c r="Q851" s="172"/>
    </row>
    <row r="852" spans="6:17" s="170" customFormat="1" x14ac:dyDescent="0.2">
      <c r="F852" s="187"/>
      <c r="G852" s="187"/>
      <c r="H852" s="188"/>
      <c r="I852" s="189"/>
      <c r="J852" s="190"/>
      <c r="K852" s="190"/>
      <c r="L852" s="190"/>
      <c r="M852" s="191"/>
      <c r="N852" s="172"/>
      <c r="O852" s="172"/>
      <c r="P852" s="172"/>
      <c r="Q852" s="172"/>
    </row>
    <row r="853" spans="6:17" s="170" customFormat="1" x14ac:dyDescent="0.2">
      <c r="F853" s="187"/>
      <c r="G853" s="187"/>
      <c r="H853" s="188"/>
      <c r="I853" s="189"/>
      <c r="J853" s="190"/>
      <c r="K853" s="190"/>
      <c r="L853" s="190"/>
      <c r="M853" s="191"/>
      <c r="N853" s="172"/>
      <c r="O853" s="172"/>
      <c r="P853" s="172"/>
      <c r="Q853" s="172"/>
    </row>
    <row r="854" spans="6:17" s="170" customFormat="1" x14ac:dyDescent="0.2">
      <c r="F854" s="187"/>
      <c r="G854" s="187"/>
      <c r="H854" s="188"/>
      <c r="I854" s="189"/>
      <c r="J854" s="190"/>
      <c r="K854" s="190"/>
      <c r="L854" s="190"/>
      <c r="M854" s="191"/>
      <c r="N854" s="172"/>
      <c r="O854" s="172"/>
      <c r="P854" s="172"/>
      <c r="Q854" s="172"/>
    </row>
    <row r="855" spans="6:17" s="170" customFormat="1" x14ac:dyDescent="0.2">
      <c r="F855" s="187"/>
      <c r="G855" s="187"/>
      <c r="H855" s="188"/>
      <c r="I855" s="189"/>
      <c r="J855" s="190"/>
      <c r="K855" s="190"/>
      <c r="L855" s="190"/>
      <c r="M855" s="191"/>
      <c r="N855" s="172"/>
      <c r="O855" s="172"/>
      <c r="P855" s="172"/>
      <c r="Q855" s="172"/>
    </row>
    <row r="856" spans="6:17" s="170" customFormat="1" x14ac:dyDescent="0.2">
      <c r="F856" s="187"/>
      <c r="G856" s="187"/>
      <c r="H856" s="188"/>
      <c r="I856" s="189"/>
      <c r="J856" s="190"/>
      <c r="K856" s="190"/>
      <c r="L856" s="190"/>
      <c r="M856" s="191"/>
      <c r="N856" s="172"/>
      <c r="O856" s="172"/>
      <c r="P856" s="172"/>
      <c r="Q856" s="172"/>
    </row>
    <row r="857" spans="6:17" s="170" customFormat="1" x14ac:dyDescent="0.2">
      <c r="F857" s="187"/>
      <c r="G857" s="187"/>
      <c r="H857" s="188"/>
      <c r="I857" s="189"/>
      <c r="J857" s="190"/>
      <c r="K857" s="190"/>
      <c r="L857" s="190"/>
      <c r="M857" s="191"/>
      <c r="N857" s="172"/>
      <c r="O857" s="172"/>
      <c r="P857" s="172"/>
      <c r="Q857" s="172"/>
    </row>
    <row r="858" spans="6:17" s="170" customFormat="1" x14ac:dyDescent="0.2">
      <c r="F858" s="187"/>
      <c r="G858" s="187"/>
      <c r="H858" s="188"/>
      <c r="I858" s="189"/>
      <c r="J858" s="190"/>
      <c r="K858" s="190"/>
      <c r="L858" s="190"/>
      <c r="M858" s="191"/>
      <c r="N858" s="172"/>
      <c r="O858" s="172"/>
      <c r="P858" s="172"/>
      <c r="Q858" s="172"/>
    </row>
    <row r="859" spans="6:17" s="170" customFormat="1" x14ac:dyDescent="0.2">
      <c r="F859" s="187"/>
      <c r="G859" s="187"/>
      <c r="H859" s="188"/>
      <c r="I859" s="189"/>
      <c r="J859" s="190"/>
      <c r="K859" s="190"/>
      <c r="L859" s="190"/>
      <c r="M859" s="191"/>
      <c r="N859" s="172"/>
      <c r="O859" s="172"/>
      <c r="P859" s="172"/>
      <c r="Q859" s="172"/>
    </row>
    <row r="860" spans="6:17" s="170" customFormat="1" x14ac:dyDescent="0.2">
      <c r="F860" s="187"/>
      <c r="G860" s="187"/>
      <c r="H860" s="188"/>
      <c r="I860" s="189"/>
      <c r="J860" s="190"/>
      <c r="K860" s="190"/>
      <c r="L860" s="190"/>
      <c r="M860" s="191"/>
      <c r="N860" s="172"/>
      <c r="O860" s="172"/>
      <c r="P860" s="172"/>
      <c r="Q860" s="172"/>
    </row>
    <row r="861" spans="6:17" s="170" customFormat="1" x14ac:dyDescent="0.2">
      <c r="F861" s="187"/>
      <c r="G861" s="187"/>
      <c r="H861" s="188"/>
      <c r="I861" s="189"/>
      <c r="J861" s="190"/>
      <c r="K861" s="190"/>
      <c r="L861" s="190"/>
      <c r="M861" s="191"/>
      <c r="N861" s="172"/>
      <c r="O861" s="172"/>
      <c r="P861" s="172"/>
      <c r="Q861" s="172"/>
    </row>
    <row r="862" spans="6:17" s="170" customFormat="1" x14ac:dyDescent="0.2">
      <c r="F862" s="187"/>
      <c r="G862" s="187"/>
      <c r="H862" s="188"/>
      <c r="I862" s="189"/>
      <c r="J862" s="190"/>
      <c r="K862" s="190"/>
      <c r="L862" s="190"/>
      <c r="M862" s="191"/>
      <c r="N862" s="172"/>
      <c r="O862" s="172"/>
      <c r="P862" s="172"/>
      <c r="Q862" s="172"/>
    </row>
    <row r="863" spans="6:17" s="170" customFormat="1" x14ac:dyDescent="0.2">
      <c r="F863" s="187"/>
      <c r="G863" s="187"/>
      <c r="H863" s="188"/>
      <c r="I863" s="189"/>
      <c r="J863" s="190"/>
      <c r="K863" s="190"/>
      <c r="L863" s="190"/>
      <c r="M863" s="191"/>
      <c r="N863" s="172"/>
      <c r="O863" s="172"/>
      <c r="P863" s="172"/>
      <c r="Q863" s="172"/>
    </row>
    <row r="864" spans="6:17" s="170" customFormat="1" x14ac:dyDescent="0.2">
      <c r="F864" s="187"/>
      <c r="G864" s="187"/>
      <c r="H864" s="188"/>
      <c r="I864" s="189"/>
      <c r="J864" s="190"/>
      <c r="K864" s="190"/>
      <c r="L864" s="190"/>
      <c r="M864" s="191"/>
      <c r="N864" s="172"/>
      <c r="O864" s="172"/>
      <c r="P864" s="172"/>
      <c r="Q864" s="172"/>
    </row>
    <row r="865" spans="6:17" s="170" customFormat="1" x14ac:dyDescent="0.2">
      <c r="F865" s="187"/>
      <c r="G865" s="187"/>
      <c r="H865" s="188"/>
      <c r="I865" s="189"/>
      <c r="J865" s="190"/>
      <c r="K865" s="190"/>
      <c r="L865" s="190"/>
      <c r="M865" s="191"/>
      <c r="N865" s="172"/>
      <c r="O865" s="172"/>
      <c r="P865" s="172"/>
      <c r="Q865" s="172"/>
    </row>
    <row r="866" spans="6:17" s="170" customFormat="1" x14ac:dyDescent="0.2">
      <c r="F866" s="187"/>
      <c r="G866" s="187"/>
      <c r="H866" s="188"/>
      <c r="I866" s="189"/>
      <c r="J866" s="190"/>
      <c r="K866" s="190"/>
      <c r="L866" s="190"/>
      <c r="M866" s="191"/>
      <c r="N866" s="172"/>
      <c r="O866" s="172"/>
      <c r="P866" s="172"/>
      <c r="Q866" s="172"/>
    </row>
    <row r="867" spans="6:17" s="170" customFormat="1" x14ac:dyDescent="0.2">
      <c r="F867" s="187"/>
      <c r="G867" s="187"/>
      <c r="H867" s="188"/>
      <c r="I867" s="189"/>
      <c r="J867" s="190"/>
      <c r="K867" s="190"/>
      <c r="L867" s="190"/>
      <c r="M867" s="191"/>
      <c r="N867" s="172"/>
      <c r="O867" s="172"/>
      <c r="P867" s="172"/>
      <c r="Q867" s="172"/>
    </row>
    <row r="868" spans="6:17" s="170" customFormat="1" x14ac:dyDescent="0.2">
      <c r="F868" s="187"/>
      <c r="G868" s="187"/>
      <c r="H868" s="188"/>
      <c r="I868" s="189"/>
      <c r="J868" s="190"/>
      <c r="K868" s="190"/>
      <c r="L868" s="190"/>
      <c r="M868" s="191"/>
      <c r="N868" s="172"/>
      <c r="O868" s="172"/>
      <c r="P868" s="172"/>
      <c r="Q868" s="172"/>
    </row>
    <row r="869" spans="6:17" s="170" customFormat="1" x14ac:dyDescent="0.2">
      <c r="F869" s="187"/>
      <c r="G869" s="187"/>
      <c r="H869" s="188"/>
      <c r="I869" s="189"/>
      <c r="J869" s="190"/>
      <c r="K869" s="190"/>
      <c r="L869" s="190"/>
      <c r="M869" s="191"/>
      <c r="N869" s="172"/>
      <c r="O869" s="172"/>
      <c r="P869" s="172"/>
      <c r="Q869" s="172"/>
    </row>
    <row r="870" spans="6:17" s="170" customFormat="1" x14ac:dyDescent="0.2">
      <c r="F870" s="187"/>
      <c r="G870" s="187"/>
      <c r="H870" s="188"/>
      <c r="I870" s="189"/>
      <c r="J870" s="190"/>
      <c r="K870" s="190"/>
      <c r="L870" s="190"/>
      <c r="M870" s="191"/>
      <c r="N870" s="172"/>
      <c r="O870" s="172"/>
      <c r="P870" s="172"/>
      <c r="Q870" s="172"/>
    </row>
    <row r="871" spans="6:17" s="170" customFormat="1" x14ac:dyDescent="0.2">
      <c r="F871" s="187"/>
      <c r="G871" s="187"/>
      <c r="H871" s="188"/>
      <c r="I871" s="189"/>
      <c r="J871" s="190"/>
      <c r="K871" s="190"/>
      <c r="L871" s="190"/>
      <c r="M871" s="191"/>
      <c r="N871" s="172"/>
      <c r="O871" s="172"/>
      <c r="P871" s="172"/>
      <c r="Q871" s="172"/>
    </row>
    <row r="872" spans="6:17" s="170" customFormat="1" x14ac:dyDescent="0.2">
      <c r="F872" s="187"/>
      <c r="G872" s="187"/>
      <c r="H872" s="188"/>
      <c r="I872" s="189"/>
      <c r="J872" s="190"/>
      <c r="K872" s="190"/>
      <c r="L872" s="190"/>
      <c r="M872" s="191"/>
      <c r="N872" s="172"/>
      <c r="O872" s="172"/>
      <c r="P872" s="172"/>
      <c r="Q872" s="172"/>
    </row>
    <row r="873" spans="6:17" s="170" customFormat="1" x14ac:dyDescent="0.2">
      <c r="F873" s="187"/>
      <c r="G873" s="187"/>
      <c r="H873" s="188"/>
      <c r="I873" s="189"/>
      <c r="J873" s="190"/>
      <c r="K873" s="190"/>
      <c r="L873" s="190"/>
      <c r="M873" s="191"/>
      <c r="N873" s="172"/>
      <c r="O873" s="172"/>
      <c r="P873" s="172"/>
      <c r="Q873" s="172"/>
    </row>
    <row r="874" spans="6:17" s="170" customFormat="1" x14ac:dyDescent="0.2">
      <c r="F874" s="187"/>
      <c r="G874" s="187"/>
      <c r="H874" s="188"/>
      <c r="I874" s="189"/>
      <c r="J874" s="190"/>
      <c r="K874" s="190"/>
      <c r="L874" s="190"/>
      <c r="M874" s="191"/>
      <c r="N874" s="172"/>
      <c r="O874" s="172"/>
      <c r="P874" s="172"/>
      <c r="Q874" s="172"/>
    </row>
    <row r="875" spans="6:17" s="170" customFormat="1" x14ac:dyDescent="0.2">
      <c r="F875" s="187"/>
      <c r="G875" s="187"/>
      <c r="H875" s="188"/>
      <c r="I875" s="189"/>
      <c r="J875" s="190"/>
      <c r="K875" s="190"/>
      <c r="L875" s="190"/>
      <c r="M875" s="191"/>
      <c r="N875" s="172"/>
      <c r="O875" s="172"/>
      <c r="P875" s="172"/>
      <c r="Q875" s="172"/>
    </row>
    <row r="876" spans="6:17" s="170" customFormat="1" x14ac:dyDescent="0.2">
      <c r="F876" s="187"/>
      <c r="G876" s="187"/>
      <c r="H876" s="188"/>
      <c r="I876" s="189"/>
      <c r="J876" s="190"/>
      <c r="K876" s="190"/>
      <c r="L876" s="190"/>
      <c r="M876" s="191"/>
      <c r="N876" s="172"/>
      <c r="O876" s="172"/>
      <c r="P876" s="172"/>
      <c r="Q876" s="172"/>
    </row>
    <row r="877" spans="6:17" s="170" customFormat="1" x14ac:dyDescent="0.2">
      <c r="F877" s="187"/>
      <c r="G877" s="187"/>
      <c r="H877" s="188"/>
      <c r="I877" s="189"/>
      <c r="J877" s="190"/>
      <c r="K877" s="190"/>
      <c r="L877" s="190"/>
      <c r="M877" s="191"/>
      <c r="N877" s="172"/>
      <c r="O877" s="172"/>
      <c r="P877" s="172"/>
      <c r="Q877" s="172"/>
    </row>
    <row r="878" spans="6:17" s="170" customFormat="1" x14ac:dyDescent="0.2">
      <c r="F878" s="187"/>
      <c r="G878" s="187"/>
      <c r="H878" s="188"/>
      <c r="I878" s="189"/>
      <c r="J878" s="190"/>
      <c r="K878" s="190"/>
      <c r="L878" s="190"/>
      <c r="M878" s="191"/>
      <c r="N878" s="172"/>
      <c r="O878" s="172"/>
      <c r="P878" s="172"/>
      <c r="Q878" s="172"/>
    </row>
    <row r="879" spans="6:17" s="170" customFormat="1" x14ac:dyDescent="0.2">
      <c r="F879" s="187"/>
      <c r="G879" s="187"/>
      <c r="H879" s="188"/>
      <c r="I879" s="189"/>
      <c r="J879" s="190"/>
      <c r="K879" s="190"/>
      <c r="L879" s="190"/>
      <c r="M879" s="191"/>
      <c r="N879" s="172"/>
      <c r="O879" s="172"/>
      <c r="P879" s="172"/>
      <c r="Q879" s="172"/>
    </row>
    <row r="880" spans="6:17" s="170" customFormat="1" x14ac:dyDescent="0.2">
      <c r="F880" s="187"/>
      <c r="G880" s="187"/>
      <c r="H880" s="188"/>
      <c r="I880" s="189"/>
      <c r="J880" s="190"/>
      <c r="K880" s="190"/>
      <c r="L880" s="190"/>
      <c r="M880" s="191"/>
      <c r="N880" s="172"/>
      <c r="O880" s="172"/>
      <c r="P880" s="172"/>
      <c r="Q880" s="172"/>
    </row>
    <row r="881" spans="6:17" s="170" customFormat="1" x14ac:dyDescent="0.2">
      <c r="F881" s="187"/>
      <c r="G881" s="187"/>
      <c r="H881" s="188"/>
      <c r="I881" s="189"/>
      <c r="J881" s="190"/>
      <c r="K881" s="190"/>
      <c r="L881" s="190"/>
      <c r="M881" s="191"/>
      <c r="N881" s="172"/>
      <c r="O881" s="172"/>
      <c r="P881" s="172"/>
      <c r="Q881" s="172"/>
    </row>
    <row r="882" spans="6:17" s="170" customFormat="1" x14ac:dyDescent="0.2">
      <c r="F882" s="187"/>
      <c r="G882" s="187"/>
      <c r="H882" s="188"/>
      <c r="I882" s="189"/>
      <c r="J882" s="190"/>
      <c r="K882" s="190"/>
      <c r="L882" s="190"/>
      <c r="M882" s="191"/>
      <c r="N882" s="172"/>
      <c r="O882" s="172"/>
      <c r="P882" s="172"/>
      <c r="Q882" s="172"/>
    </row>
    <row r="883" spans="6:17" s="170" customFormat="1" x14ac:dyDescent="0.2">
      <c r="F883" s="187"/>
      <c r="G883" s="187"/>
      <c r="H883" s="188"/>
      <c r="I883" s="189"/>
      <c r="J883" s="190"/>
      <c r="K883" s="190"/>
      <c r="L883" s="190"/>
      <c r="M883" s="191"/>
      <c r="N883" s="172"/>
      <c r="O883" s="172"/>
      <c r="P883" s="172"/>
      <c r="Q883" s="172"/>
    </row>
    <row r="884" spans="6:17" s="170" customFormat="1" x14ac:dyDescent="0.2">
      <c r="F884" s="187"/>
      <c r="G884" s="187"/>
      <c r="H884" s="188"/>
      <c r="I884" s="189"/>
      <c r="J884" s="190"/>
      <c r="K884" s="190"/>
      <c r="L884" s="190"/>
      <c r="M884" s="191"/>
      <c r="N884" s="172"/>
      <c r="O884" s="172"/>
      <c r="P884" s="172"/>
      <c r="Q884" s="172"/>
    </row>
    <row r="885" spans="6:17" s="170" customFormat="1" x14ac:dyDescent="0.2">
      <c r="F885" s="187"/>
      <c r="G885" s="187"/>
      <c r="H885" s="188"/>
      <c r="I885" s="189"/>
      <c r="J885" s="190"/>
      <c r="K885" s="190"/>
      <c r="L885" s="190"/>
      <c r="M885" s="191"/>
      <c r="N885" s="172"/>
      <c r="O885" s="172"/>
      <c r="P885" s="172"/>
      <c r="Q885" s="172"/>
    </row>
    <row r="886" spans="6:17" s="170" customFormat="1" x14ac:dyDescent="0.2">
      <c r="F886" s="187"/>
      <c r="G886" s="187"/>
      <c r="H886" s="188"/>
      <c r="I886" s="189"/>
      <c r="J886" s="190"/>
      <c r="K886" s="190"/>
      <c r="L886" s="190"/>
      <c r="M886" s="191"/>
      <c r="N886" s="172"/>
      <c r="O886" s="172"/>
      <c r="P886" s="172"/>
      <c r="Q886" s="172"/>
    </row>
    <row r="887" spans="6:17" s="170" customFormat="1" x14ac:dyDescent="0.2">
      <c r="F887" s="187"/>
      <c r="G887" s="187"/>
      <c r="H887" s="188"/>
      <c r="I887" s="189"/>
      <c r="J887" s="190"/>
      <c r="K887" s="190"/>
      <c r="L887" s="190"/>
      <c r="M887" s="191"/>
      <c r="N887" s="172"/>
      <c r="O887" s="172"/>
      <c r="P887" s="172"/>
      <c r="Q887" s="172"/>
    </row>
    <row r="888" spans="6:17" s="170" customFormat="1" x14ac:dyDescent="0.2">
      <c r="F888" s="187"/>
      <c r="G888" s="187"/>
      <c r="H888" s="188"/>
      <c r="I888" s="189"/>
      <c r="J888" s="190"/>
      <c r="K888" s="190"/>
      <c r="L888" s="190"/>
      <c r="M888" s="191"/>
      <c r="N888" s="172"/>
      <c r="O888" s="172"/>
      <c r="P888" s="172"/>
      <c r="Q888" s="172"/>
    </row>
    <row r="889" spans="6:17" s="170" customFormat="1" x14ac:dyDescent="0.2">
      <c r="F889" s="187"/>
      <c r="G889" s="187"/>
      <c r="H889" s="188"/>
      <c r="I889" s="189"/>
      <c r="J889" s="190"/>
      <c r="K889" s="190"/>
      <c r="L889" s="190"/>
      <c r="M889" s="191"/>
      <c r="N889" s="172"/>
      <c r="O889" s="172"/>
      <c r="P889" s="172"/>
      <c r="Q889" s="172"/>
    </row>
    <row r="890" spans="6:17" s="170" customFormat="1" x14ac:dyDescent="0.2">
      <c r="F890" s="187"/>
      <c r="G890" s="187"/>
      <c r="H890" s="188"/>
      <c r="I890" s="189"/>
      <c r="J890" s="190"/>
      <c r="K890" s="190"/>
      <c r="L890" s="190"/>
      <c r="M890" s="191"/>
      <c r="N890" s="172"/>
      <c r="O890" s="172"/>
      <c r="P890" s="172"/>
      <c r="Q890" s="172"/>
    </row>
    <row r="891" spans="6:17" s="170" customFormat="1" x14ac:dyDescent="0.2">
      <c r="F891" s="187"/>
      <c r="G891" s="187"/>
      <c r="H891" s="188"/>
      <c r="I891" s="189"/>
      <c r="J891" s="190"/>
      <c r="K891" s="190"/>
      <c r="L891" s="190"/>
      <c r="M891" s="191"/>
      <c r="N891" s="172"/>
      <c r="O891" s="172"/>
      <c r="P891" s="172"/>
      <c r="Q891" s="172"/>
    </row>
    <row r="892" spans="6:17" s="170" customFormat="1" x14ac:dyDescent="0.2">
      <c r="F892" s="187"/>
      <c r="G892" s="187"/>
      <c r="H892" s="188"/>
      <c r="I892" s="189"/>
      <c r="J892" s="190"/>
      <c r="K892" s="190"/>
      <c r="L892" s="190"/>
      <c r="M892" s="191"/>
      <c r="N892" s="172"/>
      <c r="O892" s="172"/>
      <c r="P892" s="172"/>
      <c r="Q892" s="172"/>
    </row>
    <row r="893" spans="6:17" s="170" customFormat="1" x14ac:dyDescent="0.2">
      <c r="F893" s="187"/>
      <c r="G893" s="187"/>
      <c r="H893" s="188"/>
      <c r="I893" s="189"/>
      <c r="J893" s="190"/>
      <c r="K893" s="190"/>
      <c r="L893" s="190"/>
      <c r="M893" s="191"/>
      <c r="N893" s="172"/>
      <c r="O893" s="172"/>
      <c r="P893" s="172"/>
      <c r="Q893" s="172"/>
    </row>
    <row r="894" spans="6:17" s="170" customFormat="1" x14ac:dyDescent="0.2">
      <c r="F894" s="187"/>
      <c r="G894" s="187"/>
      <c r="H894" s="188"/>
      <c r="I894" s="189"/>
      <c r="J894" s="190"/>
      <c r="K894" s="190"/>
      <c r="L894" s="190"/>
      <c r="M894" s="191"/>
      <c r="N894" s="172"/>
      <c r="O894" s="172"/>
      <c r="P894" s="172"/>
      <c r="Q894" s="172"/>
    </row>
    <row r="895" spans="6:17" s="170" customFormat="1" x14ac:dyDescent="0.2">
      <c r="F895" s="187"/>
      <c r="G895" s="187"/>
      <c r="H895" s="188"/>
      <c r="I895" s="189"/>
      <c r="J895" s="190"/>
      <c r="K895" s="190"/>
      <c r="L895" s="190"/>
      <c r="M895" s="191"/>
      <c r="N895" s="172"/>
      <c r="O895" s="172"/>
      <c r="P895" s="172"/>
      <c r="Q895" s="172"/>
    </row>
    <row r="896" spans="6:17" s="170" customFormat="1" x14ac:dyDescent="0.2">
      <c r="F896" s="187"/>
      <c r="G896" s="187"/>
      <c r="H896" s="188"/>
      <c r="I896" s="189"/>
      <c r="J896" s="190"/>
      <c r="K896" s="190"/>
      <c r="L896" s="190"/>
      <c r="M896" s="191"/>
      <c r="N896" s="172"/>
      <c r="O896" s="172"/>
      <c r="P896" s="172"/>
      <c r="Q896" s="172"/>
    </row>
    <row r="897" spans="6:17" s="170" customFormat="1" x14ac:dyDescent="0.2">
      <c r="F897" s="187"/>
      <c r="G897" s="187"/>
      <c r="H897" s="188"/>
      <c r="I897" s="189"/>
      <c r="J897" s="190"/>
      <c r="K897" s="190"/>
      <c r="L897" s="190"/>
      <c r="M897" s="191"/>
      <c r="N897" s="172"/>
      <c r="O897" s="172"/>
      <c r="P897" s="172"/>
      <c r="Q897" s="172"/>
    </row>
    <row r="898" spans="6:17" s="170" customFormat="1" x14ac:dyDescent="0.2">
      <c r="F898" s="187"/>
      <c r="G898" s="187"/>
      <c r="H898" s="188"/>
      <c r="I898" s="189"/>
      <c r="J898" s="190"/>
      <c r="K898" s="190"/>
      <c r="L898" s="190"/>
      <c r="M898" s="191"/>
      <c r="N898" s="172"/>
      <c r="O898" s="172"/>
      <c r="P898" s="172"/>
      <c r="Q898" s="172"/>
    </row>
    <row r="899" spans="6:17" s="170" customFormat="1" x14ac:dyDescent="0.2">
      <c r="F899" s="187"/>
      <c r="G899" s="187"/>
      <c r="H899" s="188"/>
      <c r="I899" s="189"/>
      <c r="J899" s="190"/>
      <c r="K899" s="190"/>
      <c r="L899" s="190"/>
      <c r="M899" s="191"/>
      <c r="N899" s="172"/>
      <c r="O899" s="172"/>
      <c r="P899" s="172"/>
      <c r="Q899" s="172"/>
    </row>
    <row r="900" spans="6:17" s="170" customFormat="1" x14ac:dyDescent="0.2">
      <c r="F900" s="187"/>
      <c r="G900" s="187"/>
      <c r="H900" s="188"/>
      <c r="I900" s="189"/>
      <c r="J900" s="190"/>
      <c r="K900" s="190"/>
      <c r="L900" s="190"/>
      <c r="M900" s="191"/>
      <c r="N900" s="172"/>
      <c r="O900" s="172"/>
      <c r="P900" s="172"/>
      <c r="Q900" s="172"/>
    </row>
    <row r="901" spans="6:17" s="170" customFormat="1" x14ac:dyDescent="0.2">
      <c r="F901" s="187"/>
      <c r="G901" s="187"/>
      <c r="H901" s="188"/>
      <c r="I901" s="189"/>
      <c r="J901" s="190"/>
      <c r="K901" s="190"/>
      <c r="L901" s="190"/>
      <c r="M901" s="191"/>
      <c r="N901" s="172"/>
      <c r="O901" s="172"/>
      <c r="P901" s="172"/>
      <c r="Q901" s="172"/>
    </row>
    <row r="902" spans="6:17" s="170" customFormat="1" x14ac:dyDescent="0.2">
      <c r="F902" s="187"/>
      <c r="G902" s="187"/>
      <c r="H902" s="188"/>
      <c r="I902" s="189"/>
      <c r="J902" s="190"/>
      <c r="K902" s="190"/>
      <c r="L902" s="190"/>
      <c r="M902" s="191"/>
      <c r="N902" s="172"/>
      <c r="O902" s="172"/>
      <c r="P902" s="172"/>
      <c r="Q902" s="172"/>
    </row>
    <row r="903" spans="6:17" s="170" customFormat="1" x14ac:dyDescent="0.2">
      <c r="F903" s="187"/>
      <c r="G903" s="187"/>
      <c r="H903" s="188"/>
      <c r="I903" s="189"/>
      <c r="J903" s="190"/>
      <c r="K903" s="190"/>
      <c r="L903" s="190"/>
      <c r="M903" s="191"/>
      <c r="N903" s="172"/>
      <c r="O903" s="172"/>
      <c r="P903" s="172"/>
      <c r="Q903" s="172"/>
    </row>
    <row r="904" spans="6:17" s="170" customFormat="1" x14ac:dyDescent="0.2">
      <c r="F904" s="187"/>
      <c r="G904" s="187"/>
      <c r="H904" s="188"/>
      <c r="I904" s="189"/>
      <c r="J904" s="190"/>
      <c r="K904" s="190"/>
      <c r="L904" s="190"/>
      <c r="M904" s="191"/>
      <c r="N904" s="172"/>
      <c r="O904" s="172"/>
      <c r="P904" s="172"/>
      <c r="Q904" s="172"/>
    </row>
    <row r="905" spans="6:17" s="170" customFormat="1" x14ac:dyDescent="0.2">
      <c r="F905" s="187"/>
      <c r="G905" s="187"/>
      <c r="H905" s="188"/>
      <c r="I905" s="189"/>
      <c r="J905" s="190"/>
      <c r="K905" s="190"/>
      <c r="L905" s="190"/>
      <c r="M905" s="191"/>
      <c r="N905" s="172"/>
      <c r="O905" s="172"/>
      <c r="P905" s="172"/>
      <c r="Q905" s="172"/>
    </row>
    <row r="906" spans="6:17" s="170" customFormat="1" x14ac:dyDescent="0.2">
      <c r="F906" s="187"/>
      <c r="G906" s="187"/>
      <c r="H906" s="188"/>
      <c r="I906" s="189"/>
      <c r="J906" s="190"/>
      <c r="K906" s="190"/>
      <c r="L906" s="190"/>
      <c r="M906" s="191"/>
      <c r="N906" s="172"/>
      <c r="O906" s="172"/>
      <c r="P906" s="172"/>
      <c r="Q906" s="172"/>
    </row>
    <row r="907" spans="6:17" s="170" customFormat="1" x14ac:dyDescent="0.2">
      <c r="F907" s="187"/>
      <c r="G907" s="187"/>
      <c r="H907" s="188"/>
      <c r="I907" s="189"/>
      <c r="J907" s="190"/>
      <c r="K907" s="190"/>
      <c r="L907" s="190"/>
      <c r="M907" s="191"/>
      <c r="N907" s="172"/>
      <c r="O907" s="172"/>
      <c r="P907" s="172"/>
      <c r="Q907" s="172"/>
    </row>
    <row r="908" spans="6:17" s="170" customFormat="1" x14ac:dyDescent="0.2">
      <c r="F908" s="187"/>
      <c r="G908" s="187"/>
      <c r="H908" s="188"/>
      <c r="I908" s="189"/>
      <c r="J908" s="190"/>
      <c r="K908" s="190"/>
      <c r="L908" s="190"/>
      <c r="M908" s="191"/>
      <c r="N908" s="172"/>
      <c r="O908" s="172"/>
      <c r="P908" s="172"/>
      <c r="Q908" s="172"/>
    </row>
    <row r="909" spans="6:17" s="170" customFormat="1" x14ac:dyDescent="0.2">
      <c r="F909" s="187"/>
      <c r="G909" s="187"/>
      <c r="H909" s="188"/>
      <c r="I909" s="189"/>
      <c r="J909" s="190"/>
      <c r="K909" s="190"/>
      <c r="L909" s="190"/>
      <c r="M909" s="191"/>
      <c r="N909" s="172"/>
      <c r="O909" s="172"/>
      <c r="P909" s="172"/>
      <c r="Q909" s="172"/>
    </row>
    <row r="910" spans="6:17" s="170" customFormat="1" x14ac:dyDescent="0.2">
      <c r="F910" s="187"/>
      <c r="G910" s="187"/>
      <c r="H910" s="188"/>
      <c r="I910" s="189"/>
      <c r="J910" s="190"/>
      <c r="K910" s="190"/>
      <c r="L910" s="190"/>
      <c r="M910" s="191"/>
      <c r="N910" s="172"/>
      <c r="O910" s="172"/>
      <c r="P910" s="172"/>
      <c r="Q910" s="172"/>
    </row>
    <row r="911" spans="6:17" s="170" customFormat="1" x14ac:dyDescent="0.2">
      <c r="F911" s="187"/>
      <c r="G911" s="187"/>
      <c r="H911" s="188"/>
      <c r="I911" s="189"/>
      <c r="J911" s="190"/>
      <c r="K911" s="190"/>
      <c r="L911" s="190"/>
      <c r="M911" s="191"/>
      <c r="N911" s="172"/>
      <c r="O911" s="172"/>
      <c r="P911" s="172"/>
      <c r="Q911" s="172"/>
    </row>
    <row r="912" spans="6:17" s="170" customFormat="1" x14ac:dyDescent="0.2">
      <c r="F912" s="187"/>
      <c r="G912" s="187"/>
      <c r="H912" s="188"/>
      <c r="I912" s="189"/>
      <c r="J912" s="190"/>
      <c r="K912" s="190"/>
      <c r="L912" s="190"/>
      <c r="M912" s="191"/>
      <c r="N912" s="172"/>
      <c r="O912" s="172"/>
      <c r="P912" s="172"/>
      <c r="Q912" s="172"/>
    </row>
    <row r="913" spans="6:17" s="170" customFormat="1" x14ac:dyDescent="0.2">
      <c r="F913" s="187"/>
      <c r="G913" s="187"/>
      <c r="H913" s="188"/>
      <c r="I913" s="189"/>
      <c r="J913" s="190"/>
      <c r="K913" s="190"/>
      <c r="L913" s="190"/>
      <c r="M913" s="191"/>
      <c r="N913" s="172"/>
      <c r="O913" s="172"/>
      <c r="P913" s="172"/>
      <c r="Q913" s="172"/>
    </row>
    <row r="914" spans="6:17" s="170" customFormat="1" x14ac:dyDescent="0.2">
      <c r="F914" s="187"/>
      <c r="G914" s="187"/>
      <c r="H914" s="188"/>
      <c r="I914" s="189"/>
      <c r="J914" s="190"/>
      <c r="K914" s="190"/>
      <c r="L914" s="190"/>
      <c r="M914" s="191"/>
      <c r="N914" s="172"/>
      <c r="O914" s="172"/>
      <c r="P914" s="172"/>
      <c r="Q914" s="172"/>
    </row>
    <row r="915" spans="6:17" s="170" customFormat="1" x14ac:dyDescent="0.2">
      <c r="F915" s="187"/>
      <c r="G915" s="187"/>
      <c r="H915" s="188"/>
      <c r="I915" s="189"/>
      <c r="J915" s="190"/>
      <c r="K915" s="190"/>
      <c r="L915" s="190"/>
      <c r="M915" s="191"/>
      <c r="N915" s="172"/>
      <c r="O915" s="172"/>
      <c r="P915" s="172"/>
      <c r="Q915" s="172"/>
    </row>
    <row r="916" spans="6:17" s="170" customFormat="1" x14ac:dyDescent="0.2">
      <c r="F916" s="187"/>
      <c r="G916" s="187"/>
      <c r="H916" s="188"/>
      <c r="I916" s="189"/>
      <c r="J916" s="190"/>
      <c r="K916" s="190"/>
      <c r="L916" s="190"/>
      <c r="M916" s="191"/>
      <c r="N916" s="172"/>
      <c r="O916" s="172"/>
      <c r="P916" s="172"/>
      <c r="Q916" s="172"/>
    </row>
    <row r="917" spans="6:17" s="170" customFormat="1" x14ac:dyDescent="0.2">
      <c r="F917" s="187"/>
      <c r="G917" s="187"/>
      <c r="H917" s="188"/>
      <c r="I917" s="189"/>
      <c r="J917" s="190"/>
      <c r="K917" s="190"/>
      <c r="L917" s="190"/>
      <c r="M917" s="191"/>
      <c r="N917" s="172"/>
      <c r="O917" s="172"/>
      <c r="P917" s="172"/>
      <c r="Q917" s="172"/>
    </row>
    <row r="918" spans="6:17" s="170" customFormat="1" x14ac:dyDescent="0.2">
      <c r="F918" s="187"/>
      <c r="G918" s="187"/>
      <c r="H918" s="188"/>
      <c r="I918" s="189"/>
      <c r="J918" s="190"/>
      <c r="K918" s="190"/>
      <c r="L918" s="190"/>
      <c r="M918" s="191"/>
      <c r="N918" s="172"/>
      <c r="O918" s="172"/>
      <c r="P918" s="172"/>
      <c r="Q918" s="172"/>
    </row>
    <row r="919" spans="6:17" s="170" customFormat="1" x14ac:dyDescent="0.2">
      <c r="F919" s="187"/>
      <c r="G919" s="187"/>
      <c r="H919" s="188"/>
      <c r="I919" s="189"/>
      <c r="J919" s="190"/>
      <c r="K919" s="190"/>
      <c r="L919" s="190"/>
      <c r="M919" s="191"/>
      <c r="N919" s="172"/>
      <c r="O919" s="172"/>
      <c r="P919" s="172"/>
      <c r="Q919" s="172"/>
    </row>
    <row r="920" spans="6:17" s="170" customFormat="1" x14ac:dyDescent="0.2">
      <c r="F920" s="187"/>
      <c r="G920" s="187"/>
      <c r="H920" s="188"/>
      <c r="I920" s="189"/>
      <c r="J920" s="190"/>
      <c r="K920" s="190"/>
      <c r="L920" s="190"/>
      <c r="M920" s="191"/>
      <c r="N920" s="172"/>
      <c r="O920" s="172"/>
      <c r="P920" s="172"/>
      <c r="Q920" s="172"/>
    </row>
    <row r="921" spans="6:17" s="170" customFormat="1" x14ac:dyDescent="0.2">
      <c r="F921" s="187"/>
      <c r="G921" s="187"/>
      <c r="H921" s="188"/>
      <c r="I921" s="189"/>
      <c r="J921" s="190"/>
      <c r="K921" s="190"/>
      <c r="L921" s="190"/>
      <c r="M921" s="191"/>
      <c r="N921" s="172"/>
      <c r="O921" s="172"/>
      <c r="P921" s="172"/>
      <c r="Q921" s="172"/>
    </row>
    <row r="922" spans="6:17" s="170" customFormat="1" x14ac:dyDescent="0.2">
      <c r="F922" s="187"/>
      <c r="G922" s="187"/>
      <c r="H922" s="188"/>
      <c r="I922" s="189"/>
      <c r="J922" s="190"/>
      <c r="K922" s="190"/>
      <c r="L922" s="190"/>
      <c r="M922" s="191"/>
      <c r="N922" s="172"/>
      <c r="O922" s="172"/>
      <c r="P922" s="172"/>
      <c r="Q922" s="172"/>
    </row>
    <row r="923" spans="6:17" s="170" customFormat="1" x14ac:dyDescent="0.2">
      <c r="F923" s="187"/>
      <c r="G923" s="187"/>
      <c r="H923" s="188"/>
      <c r="I923" s="189"/>
      <c r="J923" s="190"/>
      <c r="K923" s="190"/>
      <c r="L923" s="190"/>
      <c r="M923" s="191"/>
      <c r="N923" s="172"/>
      <c r="O923" s="172"/>
      <c r="P923" s="172"/>
      <c r="Q923" s="172"/>
    </row>
    <row r="924" spans="6:17" s="170" customFormat="1" x14ac:dyDescent="0.2">
      <c r="F924" s="187"/>
      <c r="G924" s="187"/>
      <c r="H924" s="188"/>
      <c r="I924" s="189"/>
      <c r="J924" s="190"/>
      <c r="K924" s="190"/>
      <c r="L924" s="190"/>
      <c r="M924" s="191"/>
      <c r="N924" s="172"/>
      <c r="O924" s="172"/>
      <c r="P924" s="172"/>
      <c r="Q924" s="172"/>
    </row>
    <row r="925" spans="6:17" s="170" customFormat="1" x14ac:dyDescent="0.2">
      <c r="F925" s="187"/>
      <c r="G925" s="187"/>
      <c r="H925" s="188"/>
      <c r="I925" s="189"/>
      <c r="J925" s="190"/>
      <c r="K925" s="190"/>
      <c r="L925" s="190"/>
      <c r="M925" s="191"/>
      <c r="N925" s="172"/>
      <c r="O925" s="172"/>
      <c r="P925" s="172"/>
      <c r="Q925" s="172"/>
    </row>
    <row r="926" spans="6:17" s="170" customFormat="1" x14ac:dyDescent="0.2">
      <c r="F926" s="187"/>
      <c r="G926" s="187"/>
      <c r="H926" s="188"/>
      <c r="I926" s="189"/>
      <c r="J926" s="190"/>
      <c r="K926" s="190"/>
      <c r="L926" s="190"/>
      <c r="M926" s="191"/>
      <c r="N926" s="172"/>
      <c r="O926" s="172"/>
      <c r="P926" s="172"/>
      <c r="Q926" s="172"/>
    </row>
    <row r="927" spans="6:17" s="170" customFormat="1" x14ac:dyDescent="0.2">
      <c r="F927" s="187"/>
      <c r="G927" s="187"/>
      <c r="H927" s="188"/>
      <c r="I927" s="189"/>
      <c r="J927" s="190"/>
      <c r="K927" s="190"/>
      <c r="L927" s="190"/>
      <c r="M927" s="191"/>
      <c r="N927" s="172"/>
      <c r="O927" s="172"/>
      <c r="P927" s="172"/>
      <c r="Q927" s="172"/>
    </row>
    <row r="928" spans="6:17" s="170" customFormat="1" x14ac:dyDescent="0.2">
      <c r="F928" s="187"/>
      <c r="G928" s="187"/>
      <c r="H928" s="188"/>
      <c r="I928" s="189"/>
      <c r="J928" s="190"/>
      <c r="K928" s="190"/>
      <c r="L928" s="190"/>
      <c r="M928" s="191"/>
      <c r="N928" s="172"/>
      <c r="O928" s="172"/>
      <c r="P928" s="172"/>
      <c r="Q928" s="172"/>
    </row>
    <row r="929" spans="6:17" s="170" customFormat="1" x14ac:dyDescent="0.2">
      <c r="F929" s="187"/>
      <c r="G929" s="187"/>
      <c r="H929" s="188"/>
      <c r="I929" s="189"/>
      <c r="J929" s="190"/>
      <c r="K929" s="190"/>
      <c r="L929" s="190"/>
      <c r="M929" s="191"/>
      <c r="N929" s="172"/>
      <c r="O929" s="172"/>
      <c r="P929" s="172"/>
      <c r="Q929" s="172"/>
    </row>
    <row r="930" spans="6:17" s="170" customFormat="1" x14ac:dyDescent="0.2">
      <c r="F930" s="187"/>
      <c r="G930" s="187"/>
      <c r="H930" s="188"/>
      <c r="I930" s="189"/>
      <c r="J930" s="190"/>
      <c r="K930" s="190"/>
      <c r="L930" s="190"/>
      <c r="M930" s="191"/>
      <c r="N930" s="172"/>
      <c r="O930" s="172"/>
      <c r="P930" s="172"/>
      <c r="Q930" s="172"/>
    </row>
    <row r="931" spans="6:17" s="170" customFormat="1" x14ac:dyDescent="0.2">
      <c r="F931" s="187"/>
      <c r="G931" s="187"/>
      <c r="H931" s="188"/>
      <c r="I931" s="189"/>
      <c r="J931" s="190"/>
      <c r="K931" s="190"/>
      <c r="L931" s="190"/>
      <c r="M931" s="191"/>
      <c r="N931" s="172"/>
      <c r="O931" s="172"/>
      <c r="P931" s="172"/>
      <c r="Q931" s="172"/>
    </row>
    <row r="932" spans="6:17" s="170" customFormat="1" x14ac:dyDescent="0.2">
      <c r="F932" s="187"/>
      <c r="G932" s="187"/>
      <c r="H932" s="188"/>
      <c r="I932" s="189"/>
      <c r="J932" s="190"/>
      <c r="K932" s="190"/>
      <c r="L932" s="190"/>
      <c r="M932" s="191"/>
      <c r="N932" s="172"/>
      <c r="O932" s="172"/>
      <c r="P932" s="172"/>
      <c r="Q932" s="172"/>
    </row>
    <row r="933" spans="6:17" s="170" customFormat="1" x14ac:dyDescent="0.2">
      <c r="F933" s="187"/>
      <c r="G933" s="187"/>
      <c r="H933" s="188"/>
      <c r="I933" s="189"/>
      <c r="J933" s="190"/>
      <c r="K933" s="190"/>
      <c r="L933" s="190"/>
      <c r="M933" s="191"/>
      <c r="N933" s="172"/>
      <c r="O933" s="172"/>
      <c r="P933" s="172"/>
      <c r="Q933" s="172"/>
    </row>
    <row r="934" spans="6:17" s="170" customFormat="1" x14ac:dyDescent="0.2">
      <c r="F934" s="187"/>
      <c r="G934" s="187"/>
      <c r="H934" s="188"/>
      <c r="I934" s="189"/>
      <c r="J934" s="190"/>
      <c r="K934" s="190"/>
      <c r="L934" s="190"/>
      <c r="M934" s="191"/>
      <c r="N934" s="172"/>
      <c r="O934" s="172"/>
      <c r="P934" s="172"/>
      <c r="Q934" s="172"/>
    </row>
    <row r="935" spans="6:17" s="170" customFormat="1" x14ac:dyDescent="0.2">
      <c r="F935" s="187"/>
      <c r="G935" s="187"/>
      <c r="H935" s="188"/>
      <c r="I935" s="189"/>
      <c r="J935" s="190"/>
      <c r="K935" s="190"/>
      <c r="L935" s="190"/>
      <c r="M935" s="191"/>
      <c r="N935" s="172"/>
      <c r="O935" s="172"/>
      <c r="P935" s="172"/>
      <c r="Q935" s="172"/>
    </row>
    <row r="936" spans="6:17" s="170" customFormat="1" x14ac:dyDescent="0.2">
      <c r="F936" s="187"/>
      <c r="G936" s="187"/>
      <c r="H936" s="188"/>
      <c r="I936" s="189"/>
      <c r="J936" s="190"/>
      <c r="K936" s="190"/>
      <c r="L936" s="190"/>
      <c r="M936" s="191"/>
      <c r="N936" s="172"/>
      <c r="O936" s="172"/>
      <c r="P936" s="172"/>
      <c r="Q936" s="172"/>
    </row>
    <row r="937" spans="6:17" s="170" customFormat="1" x14ac:dyDescent="0.2">
      <c r="F937" s="187"/>
      <c r="G937" s="187"/>
      <c r="H937" s="188"/>
      <c r="I937" s="189"/>
      <c r="J937" s="190"/>
      <c r="K937" s="190"/>
      <c r="L937" s="190"/>
      <c r="M937" s="191"/>
      <c r="N937" s="172"/>
      <c r="O937" s="172"/>
      <c r="P937" s="172"/>
      <c r="Q937" s="172"/>
    </row>
    <row r="938" spans="6:17" s="170" customFormat="1" x14ac:dyDescent="0.2">
      <c r="F938" s="187"/>
      <c r="G938" s="187"/>
      <c r="H938" s="188"/>
      <c r="I938" s="189"/>
      <c r="J938" s="190"/>
      <c r="K938" s="190"/>
      <c r="L938" s="190"/>
      <c r="M938" s="191"/>
      <c r="N938" s="172"/>
      <c r="O938" s="172"/>
      <c r="P938" s="172"/>
      <c r="Q938" s="172"/>
    </row>
    <row r="939" spans="6:17" s="170" customFormat="1" x14ac:dyDescent="0.2">
      <c r="F939" s="187"/>
      <c r="G939" s="187"/>
      <c r="H939" s="188"/>
      <c r="I939" s="189"/>
      <c r="J939" s="190"/>
      <c r="K939" s="190"/>
      <c r="L939" s="190"/>
      <c r="M939" s="191"/>
      <c r="N939" s="172"/>
      <c r="O939" s="172"/>
      <c r="P939" s="172"/>
      <c r="Q939" s="172"/>
    </row>
    <row r="940" spans="6:17" s="170" customFormat="1" x14ac:dyDescent="0.2">
      <c r="F940" s="187"/>
      <c r="G940" s="187"/>
      <c r="H940" s="188"/>
      <c r="I940" s="189"/>
      <c r="J940" s="190"/>
      <c r="K940" s="190"/>
      <c r="L940" s="190"/>
      <c r="M940" s="191"/>
      <c r="N940" s="172"/>
      <c r="O940" s="172"/>
      <c r="P940" s="172"/>
      <c r="Q940" s="172"/>
    </row>
    <row r="941" spans="6:17" s="170" customFormat="1" x14ac:dyDescent="0.2">
      <c r="F941" s="187"/>
      <c r="G941" s="187"/>
      <c r="H941" s="188"/>
      <c r="I941" s="189"/>
      <c r="J941" s="190"/>
      <c r="K941" s="190"/>
      <c r="L941" s="190"/>
      <c r="M941" s="191"/>
      <c r="N941" s="172"/>
      <c r="O941" s="172"/>
      <c r="P941" s="172"/>
      <c r="Q941" s="172"/>
    </row>
    <row r="942" spans="6:17" s="170" customFormat="1" x14ac:dyDescent="0.2">
      <c r="F942" s="187"/>
      <c r="G942" s="187"/>
      <c r="H942" s="188"/>
      <c r="I942" s="189"/>
      <c r="J942" s="190"/>
      <c r="K942" s="190"/>
      <c r="L942" s="190"/>
      <c r="M942" s="191"/>
      <c r="N942" s="172"/>
      <c r="O942" s="172"/>
      <c r="P942" s="172"/>
      <c r="Q942" s="172"/>
    </row>
    <row r="943" spans="6:17" s="170" customFormat="1" x14ac:dyDescent="0.2">
      <c r="F943" s="187"/>
      <c r="G943" s="187"/>
      <c r="H943" s="188"/>
      <c r="I943" s="189"/>
      <c r="J943" s="190"/>
      <c r="K943" s="190"/>
      <c r="L943" s="190"/>
      <c r="M943" s="191"/>
      <c r="N943" s="172"/>
      <c r="O943" s="172"/>
      <c r="P943" s="172"/>
      <c r="Q943" s="172"/>
    </row>
    <row r="944" spans="6:17" s="170" customFormat="1" x14ac:dyDescent="0.2">
      <c r="F944" s="187"/>
      <c r="G944" s="187"/>
      <c r="H944" s="188"/>
      <c r="I944" s="189"/>
      <c r="J944" s="190"/>
      <c r="K944" s="190"/>
      <c r="L944" s="190"/>
      <c r="M944" s="191"/>
      <c r="N944" s="172"/>
      <c r="O944" s="172"/>
      <c r="P944" s="172"/>
      <c r="Q944" s="172"/>
    </row>
    <row r="945" spans="6:17" s="170" customFormat="1" x14ac:dyDescent="0.2">
      <c r="F945" s="187"/>
      <c r="G945" s="187"/>
      <c r="H945" s="188"/>
      <c r="I945" s="189"/>
      <c r="J945" s="190"/>
      <c r="K945" s="190"/>
      <c r="L945" s="190"/>
      <c r="M945" s="191"/>
      <c r="N945" s="172"/>
      <c r="O945" s="172"/>
      <c r="P945" s="172"/>
      <c r="Q945" s="172"/>
    </row>
    <row r="946" spans="6:17" s="170" customFormat="1" x14ac:dyDescent="0.2">
      <c r="F946" s="187"/>
      <c r="G946" s="187"/>
      <c r="H946" s="188"/>
      <c r="I946" s="189"/>
      <c r="J946" s="190"/>
      <c r="K946" s="190"/>
      <c r="L946" s="190"/>
      <c r="M946" s="191"/>
      <c r="N946" s="172"/>
      <c r="O946" s="172"/>
      <c r="P946" s="172"/>
      <c r="Q946" s="172"/>
    </row>
    <row r="947" spans="6:17" s="170" customFormat="1" x14ac:dyDescent="0.2">
      <c r="F947" s="187"/>
      <c r="G947" s="187"/>
      <c r="H947" s="188"/>
      <c r="I947" s="189"/>
      <c r="J947" s="190"/>
      <c r="K947" s="190"/>
      <c r="L947" s="190"/>
      <c r="M947" s="191"/>
      <c r="N947" s="172"/>
      <c r="O947" s="172"/>
      <c r="P947" s="172"/>
      <c r="Q947" s="172"/>
    </row>
    <row r="948" spans="6:17" s="170" customFormat="1" x14ac:dyDescent="0.2">
      <c r="F948" s="187"/>
      <c r="G948" s="187"/>
      <c r="H948" s="188"/>
      <c r="I948" s="189"/>
      <c r="J948" s="190"/>
      <c r="K948" s="190"/>
      <c r="L948" s="190"/>
      <c r="M948" s="191"/>
      <c r="N948" s="172"/>
      <c r="O948" s="172"/>
      <c r="P948" s="172"/>
      <c r="Q948" s="172"/>
    </row>
    <row r="949" spans="6:17" s="170" customFormat="1" x14ac:dyDescent="0.2">
      <c r="F949" s="187"/>
      <c r="G949" s="187"/>
      <c r="H949" s="188"/>
      <c r="I949" s="189"/>
      <c r="J949" s="190"/>
      <c r="K949" s="190"/>
      <c r="L949" s="190"/>
      <c r="M949" s="191"/>
      <c r="N949" s="172"/>
      <c r="O949" s="172"/>
      <c r="P949" s="172"/>
      <c r="Q949" s="172"/>
    </row>
    <row r="950" spans="6:17" s="170" customFormat="1" x14ac:dyDescent="0.2">
      <c r="F950" s="187"/>
      <c r="G950" s="187"/>
      <c r="H950" s="188"/>
      <c r="I950" s="189"/>
      <c r="J950" s="190"/>
      <c r="K950" s="190"/>
      <c r="L950" s="190"/>
      <c r="M950" s="191"/>
      <c r="N950" s="172"/>
      <c r="O950" s="172"/>
      <c r="P950" s="172"/>
      <c r="Q950" s="172"/>
    </row>
    <row r="951" spans="6:17" s="170" customFormat="1" x14ac:dyDescent="0.2">
      <c r="F951" s="187"/>
      <c r="G951" s="187"/>
      <c r="H951" s="188"/>
      <c r="I951" s="189"/>
      <c r="J951" s="190"/>
      <c r="K951" s="190"/>
      <c r="L951" s="190"/>
      <c r="M951" s="191"/>
      <c r="N951" s="172"/>
      <c r="O951" s="172"/>
      <c r="P951" s="172"/>
      <c r="Q951" s="172"/>
    </row>
    <row r="952" spans="6:17" s="170" customFormat="1" x14ac:dyDescent="0.2">
      <c r="F952" s="187"/>
      <c r="G952" s="187"/>
      <c r="H952" s="188"/>
      <c r="I952" s="189"/>
      <c r="J952" s="190"/>
      <c r="K952" s="190"/>
      <c r="L952" s="190"/>
      <c r="M952" s="191"/>
      <c r="N952" s="172"/>
      <c r="O952" s="172"/>
      <c r="P952" s="172"/>
      <c r="Q952" s="172"/>
    </row>
    <row r="953" spans="6:17" s="170" customFormat="1" x14ac:dyDescent="0.2">
      <c r="F953" s="187"/>
      <c r="G953" s="187"/>
      <c r="H953" s="188"/>
      <c r="I953" s="189"/>
      <c r="J953" s="190"/>
      <c r="K953" s="190"/>
      <c r="L953" s="190"/>
      <c r="M953" s="191"/>
      <c r="N953" s="172"/>
      <c r="O953" s="172"/>
      <c r="P953" s="172"/>
      <c r="Q953" s="172"/>
    </row>
    <row r="954" spans="6:17" s="170" customFormat="1" x14ac:dyDescent="0.2">
      <c r="F954" s="187"/>
      <c r="G954" s="187"/>
      <c r="H954" s="188"/>
      <c r="I954" s="189"/>
      <c r="J954" s="190"/>
      <c r="K954" s="190"/>
      <c r="L954" s="190"/>
      <c r="M954" s="191"/>
      <c r="N954" s="172"/>
      <c r="O954" s="172"/>
      <c r="P954" s="172"/>
      <c r="Q954" s="172"/>
    </row>
    <row r="955" spans="6:17" s="170" customFormat="1" x14ac:dyDescent="0.2">
      <c r="F955" s="187"/>
      <c r="G955" s="187"/>
      <c r="H955" s="188"/>
      <c r="I955" s="189"/>
      <c r="J955" s="190"/>
      <c r="K955" s="190"/>
      <c r="L955" s="190"/>
      <c r="M955" s="191"/>
      <c r="N955" s="172"/>
      <c r="O955" s="172"/>
      <c r="P955" s="172"/>
      <c r="Q955" s="172"/>
    </row>
    <row r="956" spans="6:17" s="170" customFormat="1" x14ac:dyDescent="0.2">
      <c r="F956" s="187"/>
      <c r="G956" s="187"/>
      <c r="H956" s="188"/>
      <c r="I956" s="189"/>
      <c r="J956" s="190"/>
      <c r="K956" s="190"/>
      <c r="L956" s="190"/>
      <c r="M956" s="191"/>
      <c r="N956" s="172"/>
      <c r="O956" s="172"/>
      <c r="P956" s="172"/>
      <c r="Q956" s="172"/>
    </row>
    <row r="957" spans="6:17" s="170" customFormat="1" x14ac:dyDescent="0.2">
      <c r="F957" s="187"/>
      <c r="G957" s="187"/>
      <c r="H957" s="188"/>
      <c r="I957" s="189"/>
      <c r="J957" s="190"/>
      <c r="K957" s="190"/>
      <c r="L957" s="190"/>
      <c r="M957" s="191"/>
      <c r="N957" s="172"/>
      <c r="O957" s="172"/>
      <c r="P957" s="172"/>
      <c r="Q957" s="172"/>
    </row>
    <row r="958" spans="6:17" s="170" customFormat="1" x14ac:dyDescent="0.2">
      <c r="F958" s="187"/>
      <c r="G958" s="187"/>
      <c r="H958" s="188"/>
      <c r="I958" s="189"/>
      <c r="J958" s="190"/>
      <c r="K958" s="190"/>
      <c r="L958" s="190"/>
      <c r="M958" s="191"/>
      <c r="N958" s="172"/>
      <c r="O958" s="172"/>
      <c r="P958" s="172"/>
      <c r="Q958" s="172"/>
    </row>
    <row r="959" spans="6:17" s="170" customFormat="1" x14ac:dyDescent="0.2">
      <c r="F959" s="187"/>
      <c r="G959" s="187"/>
      <c r="H959" s="188"/>
      <c r="I959" s="189"/>
      <c r="J959" s="190"/>
      <c r="K959" s="190"/>
      <c r="L959" s="190"/>
      <c r="M959" s="191"/>
      <c r="N959" s="172"/>
      <c r="O959" s="172"/>
      <c r="P959" s="172"/>
      <c r="Q959" s="172"/>
    </row>
    <row r="960" spans="6:17" s="170" customFormat="1" x14ac:dyDescent="0.2">
      <c r="F960" s="187"/>
      <c r="G960" s="187"/>
      <c r="H960" s="188"/>
      <c r="I960" s="189"/>
      <c r="J960" s="190"/>
      <c r="K960" s="190"/>
      <c r="L960" s="190"/>
      <c r="M960" s="191"/>
      <c r="N960" s="172"/>
      <c r="O960" s="172"/>
      <c r="P960" s="172"/>
      <c r="Q960" s="172"/>
    </row>
    <row r="961" spans="6:17" s="170" customFormat="1" x14ac:dyDescent="0.2">
      <c r="F961" s="187"/>
      <c r="G961" s="187"/>
      <c r="H961" s="188"/>
      <c r="I961" s="189"/>
      <c r="J961" s="190"/>
      <c r="K961" s="190"/>
      <c r="L961" s="190"/>
      <c r="M961" s="191"/>
      <c r="N961" s="172"/>
      <c r="O961" s="172"/>
      <c r="P961" s="172"/>
      <c r="Q961" s="172"/>
    </row>
    <row r="962" spans="6:17" s="170" customFormat="1" x14ac:dyDescent="0.2">
      <c r="F962" s="187"/>
      <c r="G962" s="187"/>
      <c r="H962" s="188"/>
      <c r="I962" s="189"/>
      <c r="J962" s="190"/>
      <c r="K962" s="190"/>
      <c r="L962" s="190"/>
      <c r="M962" s="191"/>
      <c r="N962" s="172"/>
      <c r="O962" s="172"/>
      <c r="P962" s="172"/>
      <c r="Q962" s="172"/>
    </row>
    <row r="963" spans="6:17" s="170" customFormat="1" x14ac:dyDescent="0.2">
      <c r="F963" s="187"/>
      <c r="G963" s="187"/>
      <c r="H963" s="188"/>
      <c r="I963" s="189"/>
      <c r="J963" s="190"/>
      <c r="K963" s="190"/>
      <c r="L963" s="190"/>
      <c r="M963" s="191"/>
      <c r="N963" s="172"/>
      <c r="O963" s="172"/>
      <c r="P963" s="172"/>
      <c r="Q963" s="172"/>
    </row>
    <row r="964" spans="6:17" s="170" customFormat="1" x14ac:dyDescent="0.2">
      <c r="F964" s="187"/>
      <c r="G964" s="187"/>
      <c r="H964" s="188"/>
      <c r="I964" s="189"/>
      <c r="J964" s="190"/>
      <c r="K964" s="190"/>
      <c r="L964" s="190"/>
      <c r="M964" s="191"/>
      <c r="N964" s="172"/>
      <c r="O964" s="172"/>
      <c r="P964" s="172"/>
      <c r="Q964" s="172"/>
    </row>
    <row r="965" spans="6:17" s="170" customFormat="1" x14ac:dyDescent="0.2">
      <c r="F965" s="187"/>
      <c r="G965" s="187"/>
      <c r="H965" s="188"/>
      <c r="I965" s="189"/>
      <c r="J965" s="190"/>
      <c r="K965" s="190"/>
      <c r="L965" s="190"/>
      <c r="M965" s="191"/>
      <c r="N965" s="172"/>
      <c r="O965" s="172"/>
      <c r="P965" s="172"/>
      <c r="Q965" s="172"/>
    </row>
    <row r="966" spans="6:17" s="170" customFormat="1" x14ac:dyDescent="0.2">
      <c r="F966" s="187"/>
      <c r="G966" s="187"/>
      <c r="H966" s="188"/>
      <c r="I966" s="189"/>
      <c r="J966" s="190"/>
      <c r="K966" s="190"/>
      <c r="L966" s="190"/>
      <c r="M966" s="191"/>
      <c r="N966" s="172"/>
      <c r="O966" s="172"/>
      <c r="P966" s="172"/>
      <c r="Q966" s="172"/>
    </row>
    <row r="967" spans="6:17" s="170" customFormat="1" x14ac:dyDescent="0.2">
      <c r="F967" s="187"/>
      <c r="G967" s="187"/>
      <c r="H967" s="188"/>
      <c r="I967" s="189"/>
      <c r="J967" s="190"/>
      <c r="K967" s="190"/>
      <c r="L967" s="190"/>
      <c r="M967" s="191"/>
      <c r="N967" s="172"/>
      <c r="O967" s="172"/>
      <c r="P967" s="172"/>
      <c r="Q967" s="172"/>
    </row>
    <row r="968" spans="6:17" s="170" customFormat="1" x14ac:dyDescent="0.2">
      <c r="F968" s="187"/>
      <c r="G968" s="187"/>
      <c r="H968" s="188"/>
      <c r="I968" s="189"/>
      <c r="J968" s="190"/>
      <c r="K968" s="190"/>
      <c r="L968" s="190"/>
      <c r="M968" s="191"/>
      <c r="N968" s="172"/>
      <c r="O968" s="172"/>
      <c r="P968" s="172"/>
      <c r="Q968" s="172"/>
    </row>
    <row r="969" spans="6:17" s="170" customFormat="1" x14ac:dyDescent="0.2">
      <c r="F969" s="187"/>
      <c r="G969" s="187"/>
      <c r="H969" s="188"/>
      <c r="I969" s="189"/>
      <c r="J969" s="190"/>
      <c r="K969" s="190"/>
      <c r="L969" s="190"/>
      <c r="M969" s="191"/>
      <c r="N969" s="172"/>
      <c r="O969" s="172"/>
      <c r="P969" s="172"/>
      <c r="Q969" s="172"/>
    </row>
    <row r="970" spans="6:17" s="170" customFormat="1" x14ac:dyDescent="0.2">
      <c r="F970" s="187"/>
      <c r="G970" s="187"/>
      <c r="H970" s="188"/>
      <c r="I970" s="189"/>
      <c r="J970" s="190"/>
      <c r="K970" s="190"/>
      <c r="L970" s="190"/>
      <c r="M970" s="191"/>
      <c r="N970" s="172"/>
      <c r="O970" s="172"/>
      <c r="P970" s="172"/>
      <c r="Q970" s="172"/>
    </row>
    <row r="971" spans="6:17" s="170" customFormat="1" x14ac:dyDescent="0.2">
      <c r="F971" s="187"/>
      <c r="G971" s="187"/>
      <c r="H971" s="188"/>
      <c r="I971" s="189"/>
      <c r="J971" s="190"/>
      <c r="K971" s="190"/>
      <c r="L971" s="190"/>
      <c r="M971" s="191"/>
      <c r="N971" s="172"/>
      <c r="O971" s="172"/>
      <c r="P971" s="172"/>
      <c r="Q971" s="172"/>
    </row>
    <row r="972" spans="6:17" s="170" customFormat="1" x14ac:dyDescent="0.2">
      <c r="F972" s="187"/>
      <c r="G972" s="187"/>
      <c r="H972" s="188"/>
      <c r="I972" s="189"/>
      <c r="J972" s="190"/>
      <c r="K972" s="190"/>
      <c r="L972" s="190"/>
      <c r="M972" s="191"/>
      <c r="N972" s="172"/>
      <c r="O972" s="172"/>
      <c r="P972" s="172"/>
      <c r="Q972" s="172"/>
    </row>
    <row r="973" spans="6:17" s="170" customFormat="1" x14ac:dyDescent="0.2">
      <c r="F973" s="187"/>
      <c r="G973" s="187"/>
      <c r="H973" s="188"/>
      <c r="I973" s="189"/>
      <c r="J973" s="190"/>
      <c r="K973" s="190"/>
      <c r="L973" s="190"/>
      <c r="M973" s="191"/>
      <c r="N973" s="172"/>
      <c r="O973" s="172"/>
      <c r="P973" s="172"/>
      <c r="Q973" s="172"/>
    </row>
    <row r="974" spans="6:17" s="170" customFormat="1" x14ac:dyDescent="0.2">
      <c r="F974" s="187"/>
      <c r="G974" s="187"/>
      <c r="H974" s="188"/>
      <c r="I974" s="189"/>
      <c r="J974" s="190"/>
      <c r="K974" s="190"/>
      <c r="L974" s="190"/>
      <c r="M974" s="191"/>
      <c r="N974" s="172"/>
      <c r="O974" s="172"/>
      <c r="P974" s="172"/>
      <c r="Q974" s="172"/>
    </row>
    <row r="975" spans="6:17" s="170" customFormat="1" x14ac:dyDescent="0.2">
      <c r="F975" s="187"/>
      <c r="G975" s="187"/>
      <c r="H975" s="188"/>
      <c r="I975" s="189"/>
      <c r="J975" s="190"/>
      <c r="K975" s="190"/>
      <c r="L975" s="190"/>
      <c r="M975" s="191"/>
      <c r="N975" s="172"/>
      <c r="O975" s="172"/>
      <c r="P975" s="172"/>
      <c r="Q975" s="172"/>
    </row>
    <row r="976" spans="6:17" s="170" customFormat="1" x14ac:dyDescent="0.2">
      <c r="F976" s="187"/>
      <c r="G976" s="187"/>
      <c r="H976" s="188"/>
      <c r="I976" s="189"/>
      <c r="J976" s="190"/>
      <c r="K976" s="190"/>
      <c r="L976" s="190"/>
      <c r="M976" s="191"/>
      <c r="N976" s="172"/>
      <c r="O976" s="172"/>
      <c r="P976" s="172"/>
      <c r="Q976" s="172"/>
    </row>
    <row r="977" spans="6:17" s="170" customFormat="1" x14ac:dyDescent="0.2">
      <c r="F977" s="187"/>
      <c r="G977" s="187"/>
      <c r="H977" s="188"/>
      <c r="I977" s="189"/>
      <c r="J977" s="190"/>
      <c r="K977" s="190"/>
      <c r="L977" s="190"/>
      <c r="M977" s="191"/>
      <c r="N977" s="172"/>
      <c r="O977" s="172"/>
      <c r="P977" s="172"/>
      <c r="Q977" s="172"/>
    </row>
    <row r="978" spans="6:17" s="170" customFormat="1" x14ac:dyDescent="0.2">
      <c r="F978" s="187"/>
      <c r="G978" s="187"/>
      <c r="H978" s="188"/>
      <c r="I978" s="189"/>
      <c r="J978" s="190"/>
      <c r="K978" s="190"/>
      <c r="L978" s="190"/>
      <c r="M978" s="191"/>
      <c r="N978" s="172"/>
      <c r="O978" s="172"/>
      <c r="P978" s="172"/>
      <c r="Q978" s="172"/>
    </row>
    <row r="979" spans="6:17" s="170" customFormat="1" x14ac:dyDescent="0.2">
      <c r="F979" s="187"/>
      <c r="G979" s="187"/>
      <c r="H979" s="188"/>
      <c r="I979" s="189"/>
      <c r="J979" s="190"/>
      <c r="K979" s="190"/>
      <c r="L979" s="190"/>
      <c r="M979" s="191"/>
      <c r="N979" s="172"/>
      <c r="O979" s="172"/>
      <c r="P979" s="172"/>
      <c r="Q979" s="172"/>
    </row>
    <row r="980" spans="6:17" s="170" customFormat="1" x14ac:dyDescent="0.2">
      <c r="F980" s="187"/>
      <c r="G980" s="187"/>
      <c r="H980" s="188"/>
      <c r="I980" s="189"/>
      <c r="J980" s="190"/>
      <c r="K980" s="190"/>
      <c r="L980" s="190"/>
      <c r="M980" s="191"/>
      <c r="N980" s="172"/>
      <c r="O980" s="172"/>
      <c r="P980" s="172"/>
      <c r="Q980" s="172"/>
    </row>
    <row r="981" spans="6:17" s="170" customFormat="1" x14ac:dyDescent="0.2">
      <c r="F981" s="187"/>
      <c r="G981" s="187"/>
      <c r="H981" s="188"/>
      <c r="I981" s="189"/>
      <c r="J981" s="190"/>
      <c r="K981" s="190"/>
      <c r="L981" s="190"/>
      <c r="M981" s="191"/>
      <c r="N981" s="172"/>
      <c r="O981" s="172"/>
      <c r="P981" s="172"/>
      <c r="Q981" s="172"/>
    </row>
    <row r="982" spans="6:17" s="170" customFormat="1" x14ac:dyDescent="0.2">
      <c r="F982" s="187"/>
      <c r="G982" s="187"/>
      <c r="H982" s="188"/>
      <c r="I982" s="189"/>
      <c r="J982" s="190"/>
      <c r="K982" s="190"/>
      <c r="L982" s="190"/>
      <c r="M982" s="191"/>
      <c r="N982" s="172"/>
      <c r="O982" s="172"/>
      <c r="P982" s="172"/>
      <c r="Q982" s="172"/>
    </row>
    <row r="983" spans="6:17" s="170" customFormat="1" x14ac:dyDescent="0.2">
      <c r="F983" s="187"/>
      <c r="G983" s="187"/>
      <c r="H983" s="188"/>
      <c r="I983" s="189"/>
      <c r="J983" s="190"/>
      <c r="K983" s="190"/>
      <c r="L983" s="190"/>
      <c r="M983" s="191"/>
      <c r="N983" s="172"/>
      <c r="O983" s="172"/>
      <c r="P983" s="172"/>
      <c r="Q983" s="172"/>
    </row>
    <row r="984" spans="6:17" s="170" customFormat="1" x14ac:dyDescent="0.2">
      <c r="F984" s="187"/>
      <c r="G984" s="187"/>
      <c r="H984" s="188"/>
      <c r="I984" s="189"/>
      <c r="J984" s="190"/>
      <c r="K984" s="190"/>
      <c r="L984" s="190"/>
      <c r="M984" s="191"/>
      <c r="N984" s="172"/>
      <c r="O984" s="172"/>
      <c r="P984" s="172"/>
      <c r="Q984" s="172"/>
    </row>
    <row r="985" spans="6:17" s="170" customFormat="1" x14ac:dyDescent="0.2">
      <c r="F985" s="187"/>
      <c r="G985" s="187"/>
      <c r="H985" s="188"/>
      <c r="I985" s="189"/>
      <c r="J985" s="190"/>
      <c r="K985" s="190"/>
      <c r="L985" s="190"/>
      <c r="M985" s="191"/>
      <c r="N985" s="172"/>
      <c r="O985" s="172"/>
      <c r="P985" s="172"/>
      <c r="Q985" s="172"/>
    </row>
    <row r="986" spans="6:17" s="170" customFormat="1" x14ac:dyDescent="0.2">
      <c r="F986" s="187"/>
      <c r="G986" s="187"/>
      <c r="H986" s="188"/>
      <c r="I986" s="189"/>
      <c r="J986" s="190"/>
      <c r="K986" s="190"/>
      <c r="L986" s="190"/>
      <c r="M986" s="191"/>
      <c r="N986" s="172"/>
      <c r="O986" s="172"/>
      <c r="P986" s="172"/>
      <c r="Q986" s="172"/>
    </row>
    <row r="987" spans="6:17" s="170" customFormat="1" x14ac:dyDescent="0.2">
      <c r="F987" s="187"/>
      <c r="G987" s="187"/>
      <c r="H987" s="188"/>
      <c r="I987" s="189"/>
      <c r="J987" s="190"/>
      <c r="K987" s="190"/>
      <c r="L987" s="190"/>
      <c r="M987" s="191"/>
      <c r="N987" s="172"/>
      <c r="O987" s="172"/>
      <c r="P987" s="172"/>
      <c r="Q987" s="172"/>
    </row>
    <row r="988" spans="6:17" s="170" customFormat="1" x14ac:dyDescent="0.2">
      <c r="F988" s="187"/>
      <c r="G988" s="187"/>
      <c r="H988" s="188"/>
      <c r="I988" s="189"/>
      <c r="J988" s="190"/>
      <c r="K988" s="190"/>
      <c r="L988" s="190"/>
      <c r="M988" s="191"/>
      <c r="N988" s="172"/>
      <c r="O988" s="172"/>
      <c r="P988" s="172"/>
      <c r="Q988" s="172"/>
    </row>
    <row r="989" spans="6:17" s="170" customFormat="1" x14ac:dyDescent="0.2">
      <c r="F989" s="187"/>
      <c r="G989" s="187"/>
      <c r="H989" s="188"/>
      <c r="I989" s="189"/>
      <c r="J989" s="190"/>
      <c r="K989" s="190"/>
      <c r="L989" s="190"/>
      <c r="M989" s="191"/>
      <c r="N989" s="172"/>
      <c r="O989" s="172"/>
      <c r="P989" s="172"/>
      <c r="Q989" s="172"/>
    </row>
    <row r="990" spans="6:17" s="170" customFormat="1" x14ac:dyDescent="0.2">
      <c r="F990" s="187"/>
      <c r="G990" s="187"/>
      <c r="H990" s="188"/>
      <c r="I990" s="189"/>
      <c r="J990" s="190"/>
      <c r="K990" s="190"/>
      <c r="L990" s="190"/>
      <c r="M990" s="191"/>
      <c r="N990" s="172"/>
      <c r="O990" s="172"/>
      <c r="P990" s="172"/>
      <c r="Q990" s="172"/>
    </row>
    <row r="991" spans="6:17" s="170" customFormat="1" x14ac:dyDescent="0.2">
      <c r="F991" s="187"/>
      <c r="G991" s="187"/>
      <c r="H991" s="188"/>
      <c r="I991" s="189"/>
      <c r="J991" s="190"/>
      <c r="K991" s="190"/>
      <c r="L991" s="190"/>
      <c r="M991" s="191"/>
      <c r="N991" s="172"/>
      <c r="O991" s="172"/>
      <c r="P991" s="172"/>
      <c r="Q991" s="172"/>
    </row>
    <row r="992" spans="6:17" s="170" customFormat="1" x14ac:dyDescent="0.2">
      <c r="F992" s="187"/>
      <c r="G992" s="187"/>
      <c r="H992" s="188"/>
      <c r="I992" s="189"/>
      <c r="J992" s="190"/>
      <c r="K992" s="190"/>
      <c r="L992" s="190"/>
      <c r="M992" s="191"/>
      <c r="N992" s="172"/>
      <c r="O992" s="172"/>
      <c r="P992" s="172"/>
      <c r="Q992" s="172"/>
    </row>
    <row r="993" spans="6:17" s="170" customFormat="1" x14ac:dyDescent="0.2">
      <c r="F993" s="187"/>
      <c r="G993" s="187"/>
      <c r="H993" s="188"/>
      <c r="I993" s="189"/>
      <c r="J993" s="190"/>
      <c r="K993" s="190"/>
      <c r="L993" s="190"/>
      <c r="M993" s="191"/>
      <c r="N993" s="172"/>
      <c r="O993" s="172"/>
      <c r="P993" s="172"/>
      <c r="Q993" s="172"/>
    </row>
    <row r="994" spans="6:17" s="170" customFormat="1" x14ac:dyDescent="0.2">
      <c r="F994" s="187"/>
      <c r="G994" s="187"/>
      <c r="H994" s="188"/>
      <c r="I994" s="189"/>
      <c r="J994" s="190"/>
      <c r="K994" s="190"/>
      <c r="L994" s="190"/>
      <c r="M994" s="191"/>
      <c r="N994" s="172"/>
      <c r="O994" s="172"/>
      <c r="P994" s="172"/>
      <c r="Q994" s="172"/>
    </row>
    <row r="995" spans="6:17" s="170" customFormat="1" x14ac:dyDescent="0.2">
      <c r="F995" s="187"/>
      <c r="G995" s="187"/>
      <c r="H995" s="188"/>
      <c r="I995" s="189"/>
      <c r="J995" s="190"/>
      <c r="K995" s="190"/>
      <c r="L995" s="190"/>
      <c r="M995" s="191"/>
      <c r="N995" s="172"/>
      <c r="O995" s="172"/>
      <c r="P995" s="172"/>
      <c r="Q995" s="172"/>
    </row>
    <row r="996" spans="6:17" s="170" customFormat="1" x14ac:dyDescent="0.2">
      <c r="F996" s="187"/>
      <c r="G996" s="187"/>
      <c r="H996" s="188"/>
      <c r="I996" s="189"/>
      <c r="J996" s="190"/>
      <c r="K996" s="190"/>
      <c r="L996" s="190"/>
      <c r="M996" s="191"/>
      <c r="N996" s="172"/>
      <c r="O996" s="172"/>
      <c r="P996" s="172"/>
      <c r="Q996" s="172"/>
    </row>
    <row r="997" spans="6:17" s="170" customFormat="1" x14ac:dyDescent="0.2">
      <c r="F997" s="187"/>
      <c r="G997" s="187"/>
      <c r="H997" s="188"/>
      <c r="I997" s="189"/>
      <c r="J997" s="190"/>
      <c r="K997" s="190"/>
      <c r="L997" s="190"/>
      <c r="M997" s="191"/>
      <c r="N997" s="172"/>
      <c r="O997" s="172"/>
      <c r="P997" s="172"/>
      <c r="Q997" s="172"/>
    </row>
    <row r="998" spans="6:17" s="170" customFormat="1" x14ac:dyDescent="0.2">
      <c r="F998" s="187"/>
      <c r="G998" s="187"/>
      <c r="H998" s="188"/>
      <c r="I998" s="189"/>
      <c r="J998" s="190"/>
      <c r="K998" s="190"/>
      <c r="L998" s="190"/>
      <c r="M998" s="191"/>
      <c r="N998" s="172"/>
      <c r="O998" s="172"/>
      <c r="P998" s="172"/>
      <c r="Q998" s="172"/>
    </row>
    <row r="999" spans="6:17" s="170" customFormat="1" x14ac:dyDescent="0.2">
      <c r="F999" s="187"/>
      <c r="G999" s="187"/>
      <c r="H999" s="188"/>
      <c r="I999" s="189"/>
      <c r="J999" s="190"/>
      <c r="K999" s="190"/>
      <c r="L999" s="190"/>
      <c r="M999" s="191"/>
      <c r="N999" s="172"/>
      <c r="O999" s="172"/>
      <c r="P999" s="172"/>
      <c r="Q999" s="172"/>
    </row>
    <row r="1000" spans="6:17" s="170" customFormat="1" x14ac:dyDescent="0.2">
      <c r="F1000" s="187"/>
      <c r="G1000" s="187"/>
      <c r="H1000" s="188"/>
      <c r="I1000" s="189"/>
      <c r="J1000" s="190"/>
      <c r="K1000" s="190"/>
      <c r="L1000" s="190"/>
      <c r="M1000" s="191"/>
      <c r="N1000" s="172"/>
      <c r="O1000" s="172"/>
      <c r="P1000" s="172"/>
      <c r="Q1000" s="172"/>
    </row>
    <row r="1001" spans="6:17" s="170" customFormat="1" x14ac:dyDescent="0.2">
      <c r="F1001" s="187"/>
      <c r="G1001" s="187"/>
      <c r="H1001" s="188"/>
      <c r="I1001" s="189"/>
      <c r="J1001" s="190"/>
      <c r="K1001" s="190"/>
      <c r="L1001" s="190"/>
      <c r="M1001" s="191"/>
      <c r="N1001" s="172"/>
      <c r="O1001" s="172"/>
      <c r="P1001" s="172"/>
      <c r="Q1001" s="172"/>
    </row>
    <row r="1002" spans="6:17" s="170" customFormat="1" x14ac:dyDescent="0.2">
      <c r="F1002" s="187"/>
      <c r="G1002" s="187"/>
      <c r="H1002" s="188"/>
      <c r="I1002" s="189"/>
      <c r="J1002" s="190"/>
      <c r="K1002" s="190"/>
      <c r="L1002" s="190"/>
      <c r="M1002" s="191"/>
      <c r="N1002" s="172"/>
      <c r="O1002" s="172"/>
      <c r="P1002" s="172"/>
      <c r="Q1002" s="172"/>
    </row>
    <row r="1003" spans="6:17" s="170" customFormat="1" x14ac:dyDescent="0.2">
      <c r="F1003" s="187"/>
      <c r="G1003" s="187"/>
      <c r="H1003" s="188"/>
      <c r="I1003" s="189"/>
      <c r="J1003" s="190"/>
      <c r="K1003" s="190"/>
      <c r="L1003" s="190"/>
      <c r="M1003" s="191"/>
      <c r="N1003" s="172"/>
      <c r="O1003" s="172"/>
      <c r="P1003" s="172"/>
      <c r="Q1003" s="172"/>
    </row>
    <row r="1004" spans="6:17" s="170" customFormat="1" x14ac:dyDescent="0.2">
      <c r="F1004" s="187"/>
      <c r="G1004" s="187"/>
      <c r="H1004" s="188"/>
      <c r="I1004" s="189"/>
      <c r="J1004" s="190"/>
      <c r="K1004" s="190"/>
      <c r="L1004" s="190"/>
      <c r="M1004" s="191"/>
      <c r="N1004" s="172"/>
      <c r="O1004" s="172"/>
      <c r="P1004" s="172"/>
      <c r="Q1004" s="172"/>
    </row>
    <row r="1005" spans="6:17" s="170" customFormat="1" x14ac:dyDescent="0.2">
      <c r="F1005" s="187"/>
      <c r="G1005" s="187"/>
      <c r="H1005" s="188"/>
      <c r="I1005" s="189"/>
      <c r="J1005" s="190"/>
      <c r="K1005" s="190"/>
      <c r="L1005" s="190"/>
      <c r="M1005" s="191"/>
      <c r="N1005" s="172"/>
      <c r="O1005" s="172"/>
      <c r="P1005" s="172"/>
      <c r="Q1005" s="172"/>
    </row>
    <row r="1006" spans="6:17" s="170" customFormat="1" x14ac:dyDescent="0.2">
      <c r="F1006" s="187"/>
      <c r="G1006" s="187"/>
      <c r="H1006" s="188"/>
      <c r="I1006" s="189"/>
      <c r="J1006" s="190"/>
      <c r="K1006" s="190"/>
      <c r="L1006" s="190"/>
      <c r="M1006" s="191"/>
      <c r="N1006" s="172"/>
      <c r="O1006" s="172"/>
      <c r="P1006" s="172"/>
      <c r="Q1006" s="172"/>
    </row>
    <row r="1007" spans="6:17" s="170" customFormat="1" x14ac:dyDescent="0.2">
      <c r="F1007" s="187"/>
      <c r="G1007" s="187"/>
      <c r="H1007" s="188"/>
      <c r="I1007" s="189"/>
      <c r="J1007" s="190"/>
      <c r="K1007" s="190"/>
      <c r="L1007" s="190"/>
      <c r="M1007" s="191"/>
      <c r="N1007" s="172"/>
      <c r="O1007" s="172"/>
      <c r="P1007" s="172"/>
      <c r="Q1007" s="172"/>
    </row>
    <row r="1008" spans="6:17" s="170" customFormat="1" x14ac:dyDescent="0.2">
      <c r="F1008" s="187"/>
      <c r="G1008" s="187"/>
      <c r="H1008" s="188"/>
      <c r="I1008" s="189"/>
      <c r="J1008" s="190"/>
      <c r="K1008" s="190"/>
      <c r="L1008" s="190"/>
      <c r="M1008" s="191"/>
      <c r="N1008" s="172"/>
      <c r="O1008" s="172"/>
      <c r="P1008" s="172"/>
      <c r="Q1008" s="172"/>
    </row>
    <row r="1009" spans="6:17" s="170" customFormat="1" x14ac:dyDescent="0.2">
      <c r="F1009" s="187"/>
      <c r="G1009" s="187"/>
      <c r="H1009" s="188"/>
      <c r="I1009" s="189"/>
      <c r="J1009" s="190"/>
      <c r="K1009" s="190"/>
      <c r="L1009" s="190"/>
      <c r="M1009" s="191"/>
      <c r="N1009" s="172"/>
      <c r="O1009" s="172"/>
      <c r="P1009" s="172"/>
      <c r="Q1009" s="172"/>
    </row>
    <row r="1010" spans="6:17" s="170" customFormat="1" x14ac:dyDescent="0.2">
      <c r="F1010" s="187"/>
      <c r="G1010" s="187"/>
      <c r="H1010" s="188"/>
      <c r="I1010" s="189"/>
      <c r="J1010" s="190"/>
      <c r="K1010" s="190"/>
      <c r="L1010" s="190"/>
      <c r="M1010" s="191"/>
      <c r="N1010" s="172"/>
      <c r="O1010" s="172"/>
      <c r="P1010" s="172"/>
      <c r="Q1010" s="172"/>
    </row>
    <row r="1011" spans="6:17" s="170" customFormat="1" x14ac:dyDescent="0.2">
      <c r="F1011" s="187"/>
      <c r="G1011" s="187"/>
      <c r="H1011" s="188"/>
      <c r="I1011" s="189"/>
      <c r="J1011" s="190"/>
      <c r="K1011" s="190"/>
      <c r="L1011" s="190"/>
      <c r="M1011" s="191"/>
      <c r="N1011" s="172"/>
      <c r="O1011" s="172"/>
      <c r="P1011" s="172"/>
      <c r="Q1011" s="172"/>
    </row>
    <row r="1012" spans="6:17" s="170" customFormat="1" x14ac:dyDescent="0.2">
      <c r="F1012" s="187"/>
      <c r="G1012" s="187"/>
      <c r="H1012" s="188"/>
      <c r="I1012" s="189"/>
      <c r="J1012" s="190"/>
      <c r="K1012" s="190"/>
      <c r="L1012" s="190"/>
      <c r="M1012" s="191"/>
      <c r="N1012" s="172"/>
      <c r="O1012" s="172"/>
      <c r="P1012" s="172"/>
      <c r="Q1012" s="172"/>
    </row>
    <row r="1013" spans="6:17" s="170" customFormat="1" x14ac:dyDescent="0.2">
      <c r="F1013" s="187"/>
      <c r="G1013" s="187"/>
      <c r="H1013" s="188"/>
      <c r="I1013" s="189"/>
      <c r="J1013" s="190"/>
      <c r="K1013" s="190"/>
      <c r="L1013" s="190"/>
      <c r="M1013" s="191"/>
      <c r="N1013" s="172"/>
      <c r="O1013" s="172"/>
      <c r="P1013" s="172"/>
      <c r="Q1013" s="172"/>
    </row>
    <row r="1014" spans="6:17" s="170" customFormat="1" x14ac:dyDescent="0.2">
      <c r="F1014" s="187"/>
      <c r="G1014" s="187"/>
      <c r="H1014" s="188"/>
      <c r="I1014" s="189"/>
      <c r="J1014" s="190"/>
      <c r="K1014" s="190"/>
      <c r="L1014" s="190"/>
      <c r="M1014" s="191"/>
      <c r="N1014" s="172"/>
      <c r="O1014" s="172"/>
      <c r="P1014" s="172"/>
      <c r="Q1014" s="172"/>
    </row>
    <row r="1015" spans="6:17" s="170" customFormat="1" x14ac:dyDescent="0.2">
      <c r="F1015" s="187"/>
      <c r="G1015" s="187"/>
      <c r="H1015" s="188"/>
      <c r="I1015" s="189"/>
      <c r="J1015" s="190"/>
      <c r="K1015" s="190"/>
      <c r="L1015" s="190"/>
      <c r="M1015" s="191"/>
      <c r="N1015" s="172"/>
      <c r="O1015" s="172"/>
      <c r="P1015" s="172"/>
      <c r="Q1015" s="172"/>
    </row>
    <row r="1016" spans="6:17" s="170" customFormat="1" x14ac:dyDescent="0.2">
      <c r="F1016" s="187"/>
      <c r="G1016" s="187"/>
      <c r="H1016" s="188"/>
      <c r="I1016" s="189"/>
      <c r="J1016" s="190"/>
      <c r="K1016" s="190"/>
      <c r="L1016" s="190"/>
      <c r="M1016" s="191"/>
      <c r="N1016" s="172"/>
      <c r="O1016" s="172"/>
      <c r="P1016" s="172"/>
      <c r="Q1016" s="172"/>
    </row>
    <row r="1017" spans="6:17" s="170" customFormat="1" x14ac:dyDescent="0.2">
      <c r="F1017" s="187"/>
      <c r="G1017" s="187"/>
      <c r="H1017" s="188"/>
      <c r="I1017" s="189"/>
      <c r="J1017" s="190"/>
      <c r="K1017" s="190"/>
      <c r="L1017" s="190"/>
      <c r="M1017" s="191"/>
      <c r="N1017" s="172"/>
      <c r="O1017" s="172"/>
      <c r="P1017" s="172"/>
      <c r="Q1017" s="172"/>
    </row>
    <row r="1018" spans="6:17" s="170" customFormat="1" x14ac:dyDescent="0.2">
      <c r="F1018" s="187"/>
      <c r="G1018" s="187"/>
      <c r="H1018" s="188"/>
      <c r="I1018" s="189"/>
      <c r="J1018" s="190"/>
      <c r="K1018" s="190"/>
      <c r="L1018" s="190"/>
      <c r="M1018" s="191"/>
      <c r="N1018" s="172"/>
      <c r="O1018" s="172"/>
      <c r="P1018" s="172"/>
      <c r="Q1018" s="172"/>
    </row>
    <row r="1019" spans="6:17" s="170" customFormat="1" x14ac:dyDescent="0.2">
      <c r="F1019" s="187"/>
      <c r="G1019" s="187"/>
      <c r="H1019" s="188"/>
      <c r="I1019" s="189"/>
      <c r="J1019" s="190"/>
      <c r="K1019" s="190"/>
      <c r="L1019" s="190"/>
      <c r="M1019" s="191"/>
      <c r="N1019" s="172"/>
      <c r="O1019" s="172"/>
      <c r="P1019" s="172"/>
      <c r="Q1019" s="172"/>
    </row>
    <row r="1020" spans="6:17" s="170" customFormat="1" x14ac:dyDescent="0.2">
      <c r="F1020" s="187"/>
      <c r="G1020" s="187"/>
      <c r="H1020" s="188"/>
      <c r="I1020" s="189"/>
      <c r="J1020" s="190"/>
      <c r="K1020" s="190"/>
      <c r="L1020" s="190"/>
      <c r="M1020" s="191"/>
      <c r="N1020" s="172"/>
      <c r="O1020" s="172"/>
      <c r="P1020" s="172"/>
      <c r="Q1020" s="172"/>
    </row>
    <row r="1021" spans="6:17" s="170" customFormat="1" x14ac:dyDescent="0.2">
      <c r="F1021" s="187"/>
      <c r="G1021" s="187"/>
      <c r="H1021" s="188"/>
      <c r="I1021" s="189"/>
      <c r="J1021" s="190"/>
      <c r="K1021" s="190"/>
      <c r="L1021" s="190"/>
      <c r="M1021" s="191"/>
      <c r="N1021" s="172"/>
      <c r="O1021" s="172"/>
      <c r="P1021" s="172"/>
      <c r="Q1021" s="172"/>
    </row>
    <row r="1022" spans="6:17" s="170" customFormat="1" x14ac:dyDescent="0.2">
      <c r="F1022" s="187"/>
      <c r="G1022" s="187"/>
      <c r="H1022" s="188"/>
      <c r="I1022" s="189"/>
      <c r="J1022" s="190"/>
      <c r="K1022" s="190"/>
      <c r="L1022" s="190"/>
      <c r="M1022" s="191"/>
      <c r="N1022" s="172"/>
      <c r="O1022" s="172"/>
      <c r="P1022" s="172"/>
      <c r="Q1022" s="172"/>
    </row>
    <row r="1023" spans="6:17" s="170" customFormat="1" x14ac:dyDescent="0.2">
      <c r="F1023" s="187"/>
      <c r="G1023" s="187"/>
      <c r="H1023" s="188"/>
      <c r="I1023" s="189"/>
      <c r="J1023" s="190"/>
      <c r="K1023" s="190"/>
      <c r="L1023" s="190"/>
      <c r="M1023" s="191"/>
      <c r="N1023" s="172"/>
      <c r="O1023" s="172"/>
      <c r="P1023" s="172"/>
      <c r="Q1023" s="172"/>
    </row>
    <row r="1024" spans="6:17" s="170" customFormat="1" x14ac:dyDescent="0.2">
      <c r="F1024" s="187"/>
      <c r="G1024" s="187"/>
      <c r="H1024" s="188"/>
      <c r="I1024" s="189"/>
      <c r="J1024" s="190"/>
      <c r="K1024" s="190"/>
      <c r="L1024" s="190"/>
      <c r="M1024" s="191"/>
      <c r="N1024" s="172"/>
      <c r="O1024" s="172"/>
      <c r="P1024" s="172"/>
      <c r="Q1024" s="172"/>
    </row>
    <row r="1025" spans="6:17" s="170" customFormat="1" x14ac:dyDescent="0.2">
      <c r="F1025" s="187"/>
      <c r="G1025" s="187"/>
      <c r="H1025" s="188"/>
      <c r="I1025" s="189"/>
      <c r="J1025" s="190"/>
      <c r="K1025" s="190"/>
      <c r="L1025" s="190"/>
      <c r="M1025" s="191"/>
      <c r="N1025" s="172"/>
      <c r="O1025" s="172"/>
      <c r="P1025" s="172"/>
      <c r="Q1025" s="172"/>
    </row>
    <row r="1026" spans="6:17" s="170" customFormat="1" x14ac:dyDescent="0.2">
      <c r="F1026" s="187"/>
      <c r="G1026" s="187"/>
      <c r="H1026" s="188"/>
      <c r="I1026" s="189"/>
      <c r="J1026" s="190"/>
      <c r="K1026" s="190"/>
      <c r="L1026" s="190"/>
      <c r="M1026" s="191"/>
      <c r="N1026" s="172"/>
      <c r="O1026" s="172"/>
      <c r="P1026" s="172"/>
      <c r="Q1026" s="172"/>
    </row>
    <row r="1027" spans="6:17" s="170" customFormat="1" x14ac:dyDescent="0.2">
      <c r="F1027" s="187"/>
      <c r="G1027" s="187"/>
      <c r="H1027" s="188"/>
      <c r="I1027" s="189"/>
      <c r="J1027" s="190"/>
      <c r="K1027" s="190"/>
      <c r="L1027" s="190"/>
      <c r="M1027" s="191"/>
      <c r="N1027" s="172"/>
      <c r="O1027" s="172"/>
      <c r="P1027" s="172"/>
      <c r="Q1027" s="172"/>
    </row>
    <row r="1028" spans="6:17" s="170" customFormat="1" x14ac:dyDescent="0.2">
      <c r="F1028" s="187"/>
      <c r="G1028" s="187"/>
      <c r="H1028" s="188"/>
      <c r="I1028" s="189"/>
      <c r="J1028" s="190"/>
      <c r="K1028" s="190"/>
      <c r="L1028" s="190"/>
      <c r="M1028" s="191"/>
      <c r="N1028" s="172"/>
      <c r="O1028" s="172"/>
      <c r="P1028" s="172"/>
      <c r="Q1028" s="172"/>
    </row>
    <row r="1029" spans="6:17" s="170" customFormat="1" x14ac:dyDescent="0.2">
      <c r="F1029" s="187"/>
      <c r="G1029" s="187"/>
      <c r="H1029" s="188"/>
      <c r="I1029" s="189"/>
      <c r="J1029" s="190"/>
      <c r="K1029" s="190"/>
      <c r="L1029" s="190"/>
      <c r="M1029" s="191"/>
      <c r="N1029" s="172"/>
      <c r="O1029" s="172"/>
      <c r="P1029" s="172"/>
      <c r="Q1029" s="172"/>
    </row>
    <row r="1030" spans="6:17" s="170" customFormat="1" x14ac:dyDescent="0.2">
      <c r="F1030" s="187"/>
      <c r="G1030" s="187"/>
      <c r="H1030" s="188"/>
      <c r="I1030" s="189"/>
      <c r="J1030" s="190"/>
      <c r="K1030" s="190"/>
      <c r="L1030" s="190"/>
      <c r="M1030" s="191"/>
      <c r="N1030" s="172"/>
      <c r="O1030" s="172"/>
      <c r="P1030" s="172"/>
      <c r="Q1030" s="172"/>
    </row>
    <row r="1031" spans="6:17" s="170" customFormat="1" x14ac:dyDescent="0.2">
      <c r="F1031" s="187"/>
      <c r="G1031" s="187"/>
      <c r="H1031" s="188"/>
      <c r="I1031" s="189"/>
      <c r="J1031" s="190"/>
      <c r="K1031" s="190"/>
      <c r="L1031" s="190"/>
      <c r="M1031" s="191"/>
      <c r="N1031" s="172"/>
      <c r="O1031" s="172"/>
      <c r="P1031" s="172"/>
      <c r="Q1031" s="172"/>
    </row>
    <row r="1032" spans="6:17" s="170" customFormat="1" x14ac:dyDescent="0.2">
      <c r="F1032" s="187"/>
      <c r="G1032" s="187"/>
      <c r="H1032" s="188"/>
      <c r="I1032" s="189"/>
      <c r="J1032" s="190"/>
      <c r="K1032" s="190"/>
      <c r="L1032" s="190"/>
      <c r="M1032" s="191"/>
      <c r="N1032" s="172"/>
      <c r="O1032" s="172"/>
      <c r="P1032" s="172"/>
      <c r="Q1032" s="172"/>
    </row>
    <row r="1033" spans="6:17" s="170" customFormat="1" x14ac:dyDescent="0.2">
      <c r="F1033" s="187"/>
      <c r="G1033" s="187"/>
      <c r="H1033" s="188"/>
      <c r="I1033" s="189"/>
      <c r="J1033" s="190"/>
      <c r="K1033" s="190"/>
      <c r="L1033" s="190"/>
      <c r="M1033" s="191"/>
      <c r="N1033" s="172"/>
      <c r="O1033" s="172"/>
      <c r="P1033" s="172"/>
      <c r="Q1033" s="172"/>
    </row>
    <row r="1034" spans="6:17" s="170" customFormat="1" x14ac:dyDescent="0.2">
      <c r="F1034" s="187"/>
      <c r="G1034" s="187"/>
      <c r="H1034" s="188"/>
      <c r="I1034" s="189"/>
      <c r="J1034" s="190"/>
      <c r="K1034" s="190"/>
      <c r="L1034" s="190"/>
      <c r="M1034" s="191"/>
      <c r="N1034" s="172"/>
      <c r="O1034" s="172"/>
      <c r="P1034" s="172"/>
      <c r="Q1034" s="172"/>
    </row>
    <row r="1035" spans="6:17" s="170" customFormat="1" x14ac:dyDescent="0.2">
      <c r="F1035" s="187"/>
      <c r="G1035" s="187"/>
      <c r="H1035" s="188"/>
      <c r="I1035" s="189"/>
      <c r="J1035" s="190"/>
      <c r="K1035" s="190"/>
      <c r="L1035" s="190"/>
      <c r="M1035" s="191"/>
      <c r="N1035" s="172"/>
      <c r="O1035" s="172"/>
      <c r="P1035" s="172"/>
      <c r="Q1035" s="172"/>
    </row>
    <row r="1036" spans="6:17" s="170" customFormat="1" x14ac:dyDescent="0.2">
      <c r="F1036" s="187"/>
      <c r="G1036" s="187"/>
      <c r="H1036" s="188"/>
      <c r="I1036" s="189"/>
      <c r="J1036" s="190"/>
      <c r="K1036" s="190"/>
      <c r="L1036" s="190"/>
      <c r="M1036" s="191"/>
      <c r="N1036" s="172"/>
      <c r="O1036" s="172"/>
      <c r="P1036" s="172"/>
      <c r="Q1036" s="172"/>
    </row>
    <row r="1037" spans="6:17" s="170" customFormat="1" x14ac:dyDescent="0.2">
      <c r="F1037" s="187"/>
      <c r="G1037" s="187"/>
      <c r="H1037" s="188"/>
      <c r="I1037" s="189"/>
      <c r="J1037" s="190"/>
      <c r="K1037" s="190"/>
      <c r="L1037" s="190"/>
      <c r="M1037" s="191"/>
      <c r="N1037" s="172"/>
      <c r="O1037" s="172"/>
      <c r="P1037" s="172"/>
      <c r="Q1037" s="172"/>
    </row>
    <row r="1038" spans="6:17" s="170" customFormat="1" x14ac:dyDescent="0.2">
      <c r="F1038" s="187"/>
      <c r="G1038" s="187"/>
      <c r="H1038" s="188"/>
      <c r="I1038" s="189"/>
      <c r="J1038" s="190"/>
      <c r="K1038" s="190"/>
      <c r="L1038" s="190"/>
      <c r="M1038" s="191"/>
      <c r="N1038" s="172"/>
      <c r="O1038" s="172"/>
      <c r="P1038" s="172"/>
      <c r="Q1038" s="172"/>
    </row>
    <row r="1039" spans="6:17" s="170" customFormat="1" x14ac:dyDescent="0.2">
      <c r="F1039" s="187"/>
      <c r="G1039" s="187"/>
      <c r="H1039" s="188"/>
      <c r="I1039" s="189"/>
      <c r="J1039" s="190"/>
      <c r="K1039" s="190"/>
      <c r="L1039" s="190"/>
      <c r="M1039" s="191"/>
      <c r="N1039" s="172"/>
      <c r="O1039" s="172"/>
      <c r="P1039" s="172"/>
      <c r="Q1039" s="172"/>
    </row>
    <row r="1040" spans="6:17" s="170" customFormat="1" x14ac:dyDescent="0.2">
      <c r="F1040" s="187"/>
      <c r="G1040" s="187"/>
      <c r="H1040" s="188"/>
      <c r="I1040" s="189"/>
      <c r="J1040" s="190"/>
      <c r="K1040" s="190"/>
      <c r="L1040" s="190"/>
      <c r="M1040" s="191"/>
      <c r="N1040" s="172"/>
      <c r="O1040" s="172"/>
      <c r="P1040" s="172"/>
      <c r="Q1040" s="172"/>
    </row>
    <row r="1041" spans="6:17" s="170" customFormat="1" x14ac:dyDescent="0.2">
      <c r="F1041" s="187"/>
      <c r="G1041" s="187"/>
      <c r="H1041" s="188"/>
      <c r="I1041" s="189"/>
      <c r="J1041" s="190"/>
      <c r="K1041" s="190"/>
      <c r="L1041" s="190"/>
      <c r="M1041" s="191"/>
      <c r="N1041" s="172"/>
      <c r="O1041" s="172"/>
      <c r="P1041" s="172"/>
      <c r="Q1041" s="172"/>
    </row>
    <row r="1042" spans="6:17" s="170" customFormat="1" x14ac:dyDescent="0.2">
      <c r="F1042" s="187"/>
      <c r="G1042" s="187"/>
      <c r="H1042" s="188"/>
      <c r="I1042" s="189"/>
      <c r="J1042" s="190"/>
      <c r="K1042" s="190"/>
      <c r="L1042" s="190"/>
      <c r="M1042" s="191"/>
      <c r="N1042" s="172"/>
      <c r="O1042" s="172"/>
      <c r="P1042" s="172"/>
      <c r="Q1042" s="172"/>
    </row>
    <row r="1043" spans="6:17" s="170" customFormat="1" x14ac:dyDescent="0.2">
      <c r="F1043" s="187"/>
      <c r="G1043" s="187"/>
      <c r="H1043" s="188"/>
      <c r="I1043" s="189"/>
      <c r="J1043" s="190"/>
      <c r="K1043" s="190"/>
      <c r="L1043" s="190"/>
      <c r="M1043" s="191"/>
      <c r="N1043" s="172"/>
      <c r="O1043" s="172"/>
      <c r="P1043" s="172"/>
      <c r="Q1043" s="172"/>
    </row>
    <row r="1044" spans="6:17" s="170" customFormat="1" x14ac:dyDescent="0.2">
      <c r="F1044" s="187"/>
      <c r="G1044" s="187"/>
      <c r="H1044" s="188"/>
      <c r="I1044" s="189"/>
      <c r="J1044" s="190"/>
      <c r="K1044" s="190"/>
      <c r="L1044" s="190"/>
      <c r="M1044" s="191"/>
      <c r="N1044" s="172"/>
      <c r="O1044" s="172"/>
      <c r="P1044" s="172"/>
      <c r="Q1044" s="172"/>
    </row>
    <row r="1045" spans="6:17" s="170" customFormat="1" x14ac:dyDescent="0.2">
      <c r="F1045" s="187"/>
      <c r="G1045" s="187"/>
      <c r="H1045" s="188"/>
      <c r="I1045" s="189"/>
      <c r="J1045" s="190"/>
      <c r="K1045" s="190"/>
      <c r="L1045" s="190"/>
      <c r="M1045" s="191"/>
      <c r="N1045" s="172"/>
      <c r="O1045" s="172"/>
      <c r="P1045" s="172"/>
      <c r="Q1045" s="172"/>
    </row>
    <row r="1046" spans="6:17" s="170" customFormat="1" x14ac:dyDescent="0.2">
      <c r="F1046" s="187"/>
      <c r="G1046" s="187"/>
      <c r="H1046" s="188"/>
      <c r="I1046" s="189"/>
      <c r="J1046" s="190"/>
      <c r="K1046" s="190"/>
      <c r="L1046" s="190"/>
      <c r="M1046" s="191"/>
      <c r="N1046" s="172"/>
      <c r="O1046" s="172"/>
      <c r="P1046" s="172"/>
      <c r="Q1046" s="172"/>
    </row>
    <row r="1047" spans="6:17" s="170" customFormat="1" x14ac:dyDescent="0.2">
      <c r="F1047" s="187"/>
      <c r="G1047" s="187"/>
      <c r="H1047" s="188"/>
      <c r="I1047" s="189"/>
      <c r="J1047" s="190"/>
      <c r="K1047" s="190"/>
      <c r="L1047" s="190"/>
      <c r="M1047" s="191"/>
      <c r="N1047" s="172"/>
      <c r="O1047" s="172"/>
      <c r="P1047" s="172"/>
      <c r="Q1047" s="172"/>
    </row>
    <row r="1048" spans="6:17" s="170" customFormat="1" x14ac:dyDescent="0.2">
      <c r="F1048" s="187"/>
      <c r="G1048" s="187"/>
      <c r="H1048" s="188"/>
      <c r="I1048" s="189"/>
      <c r="J1048" s="190"/>
      <c r="K1048" s="190"/>
      <c r="L1048" s="190"/>
      <c r="M1048" s="191"/>
      <c r="N1048" s="172"/>
      <c r="O1048" s="172"/>
      <c r="P1048" s="172"/>
      <c r="Q1048" s="172"/>
    </row>
    <row r="1049" spans="6:17" s="170" customFormat="1" x14ac:dyDescent="0.2">
      <c r="F1049" s="187"/>
      <c r="G1049" s="187"/>
      <c r="H1049" s="188"/>
      <c r="I1049" s="189"/>
      <c r="J1049" s="190"/>
      <c r="K1049" s="190"/>
      <c r="L1049" s="190"/>
      <c r="M1049" s="191"/>
      <c r="N1049" s="172"/>
      <c r="O1049" s="172"/>
      <c r="P1049" s="172"/>
      <c r="Q1049" s="172"/>
    </row>
    <row r="1050" spans="6:17" s="170" customFormat="1" x14ac:dyDescent="0.2">
      <c r="F1050" s="187"/>
      <c r="G1050" s="187"/>
      <c r="H1050" s="188"/>
      <c r="I1050" s="189"/>
      <c r="J1050" s="190"/>
      <c r="K1050" s="190"/>
      <c r="L1050" s="190"/>
      <c r="M1050" s="191"/>
      <c r="N1050" s="172"/>
      <c r="O1050" s="172"/>
      <c r="P1050" s="172"/>
      <c r="Q1050" s="172"/>
    </row>
    <row r="1051" spans="6:17" s="170" customFormat="1" x14ac:dyDescent="0.2">
      <c r="F1051" s="187"/>
      <c r="G1051" s="187"/>
      <c r="H1051" s="188"/>
      <c r="I1051" s="189"/>
      <c r="J1051" s="190"/>
      <c r="K1051" s="190"/>
      <c r="L1051" s="190"/>
      <c r="M1051" s="191"/>
      <c r="N1051" s="172"/>
      <c r="O1051" s="172"/>
      <c r="P1051" s="172"/>
      <c r="Q1051" s="172"/>
    </row>
    <row r="1052" spans="6:17" s="170" customFormat="1" x14ac:dyDescent="0.2">
      <c r="F1052" s="187"/>
      <c r="G1052" s="187"/>
      <c r="H1052" s="188"/>
      <c r="I1052" s="189"/>
      <c r="J1052" s="190"/>
      <c r="K1052" s="190"/>
      <c r="L1052" s="190"/>
      <c r="M1052" s="191"/>
      <c r="N1052" s="172"/>
      <c r="O1052" s="172"/>
      <c r="P1052" s="172"/>
      <c r="Q1052" s="172"/>
    </row>
    <row r="1053" spans="6:17" s="170" customFormat="1" x14ac:dyDescent="0.2">
      <c r="F1053" s="187"/>
      <c r="G1053" s="187"/>
      <c r="H1053" s="188"/>
      <c r="I1053" s="189"/>
      <c r="J1053" s="190"/>
      <c r="K1053" s="190"/>
      <c r="L1053" s="190"/>
      <c r="M1053" s="191"/>
      <c r="N1053" s="172"/>
      <c r="O1053" s="172"/>
      <c r="P1053" s="172"/>
      <c r="Q1053" s="172"/>
    </row>
    <row r="1054" spans="6:17" s="170" customFormat="1" x14ac:dyDescent="0.2">
      <c r="F1054" s="187"/>
      <c r="G1054" s="187"/>
      <c r="H1054" s="188"/>
      <c r="I1054" s="189"/>
      <c r="J1054" s="190"/>
      <c r="K1054" s="190"/>
      <c r="L1054" s="190"/>
      <c r="M1054" s="191"/>
      <c r="N1054" s="172"/>
      <c r="O1054" s="172"/>
      <c r="P1054" s="172"/>
      <c r="Q1054" s="172"/>
    </row>
    <row r="1055" spans="6:17" s="170" customFormat="1" x14ac:dyDescent="0.2">
      <c r="F1055" s="187"/>
      <c r="G1055" s="187"/>
      <c r="H1055" s="188"/>
      <c r="I1055" s="189"/>
      <c r="J1055" s="190"/>
      <c r="K1055" s="190"/>
      <c r="L1055" s="190"/>
      <c r="M1055" s="191"/>
      <c r="N1055" s="172"/>
      <c r="O1055" s="172"/>
      <c r="P1055" s="172"/>
      <c r="Q1055" s="172"/>
    </row>
    <row r="1056" spans="6:17" s="170" customFormat="1" x14ac:dyDescent="0.2">
      <c r="F1056" s="187"/>
      <c r="G1056" s="187"/>
      <c r="H1056" s="188"/>
      <c r="I1056" s="189"/>
      <c r="J1056" s="190"/>
      <c r="K1056" s="190"/>
      <c r="L1056" s="190"/>
      <c r="M1056" s="191"/>
      <c r="N1056" s="172"/>
      <c r="O1056" s="172"/>
      <c r="P1056" s="172"/>
      <c r="Q1056" s="172"/>
    </row>
    <row r="1057" spans="6:17" s="170" customFormat="1" x14ac:dyDescent="0.2">
      <c r="F1057" s="187"/>
      <c r="G1057" s="187"/>
      <c r="H1057" s="188"/>
      <c r="I1057" s="189"/>
      <c r="J1057" s="190"/>
      <c r="K1057" s="190"/>
      <c r="L1057" s="190"/>
      <c r="M1057" s="191"/>
      <c r="N1057" s="172"/>
      <c r="O1057" s="172"/>
      <c r="P1057" s="172"/>
      <c r="Q1057" s="172"/>
    </row>
    <row r="1058" spans="6:17" s="170" customFormat="1" x14ac:dyDescent="0.2">
      <c r="F1058" s="187"/>
      <c r="G1058" s="187"/>
      <c r="H1058" s="188"/>
      <c r="I1058" s="189"/>
      <c r="J1058" s="190"/>
      <c r="K1058" s="190"/>
      <c r="L1058" s="190"/>
      <c r="M1058" s="191"/>
      <c r="N1058" s="172"/>
      <c r="O1058" s="172"/>
      <c r="P1058" s="172"/>
      <c r="Q1058" s="172"/>
    </row>
    <row r="1059" spans="6:17" s="170" customFormat="1" x14ac:dyDescent="0.2">
      <c r="F1059" s="187"/>
      <c r="G1059" s="187"/>
      <c r="H1059" s="188"/>
      <c r="I1059" s="189"/>
      <c r="J1059" s="190"/>
      <c r="K1059" s="190"/>
      <c r="L1059" s="190"/>
      <c r="M1059" s="191"/>
      <c r="N1059" s="172"/>
      <c r="O1059" s="172"/>
      <c r="P1059" s="172"/>
      <c r="Q1059" s="172"/>
    </row>
    <row r="1060" spans="6:17" s="170" customFormat="1" x14ac:dyDescent="0.2">
      <c r="F1060" s="187"/>
      <c r="G1060" s="187"/>
      <c r="H1060" s="188"/>
      <c r="I1060" s="189"/>
      <c r="J1060" s="190"/>
      <c r="K1060" s="190"/>
      <c r="L1060" s="190"/>
      <c r="M1060" s="191"/>
      <c r="N1060" s="172"/>
      <c r="O1060" s="172"/>
      <c r="P1060" s="172"/>
      <c r="Q1060" s="172"/>
    </row>
    <row r="1061" spans="6:17" s="170" customFormat="1" x14ac:dyDescent="0.2">
      <c r="F1061" s="187"/>
      <c r="G1061" s="187"/>
      <c r="H1061" s="188"/>
      <c r="I1061" s="189"/>
      <c r="J1061" s="190"/>
      <c r="K1061" s="190"/>
      <c r="L1061" s="190"/>
      <c r="M1061" s="191"/>
      <c r="N1061" s="172"/>
      <c r="O1061" s="172"/>
      <c r="P1061" s="172"/>
      <c r="Q1061" s="172"/>
    </row>
    <row r="1062" spans="6:17" s="170" customFormat="1" x14ac:dyDescent="0.2">
      <c r="F1062" s="187"/>
      <c r="G1062" s="187"/>
      <c r="H1062" s="188"/>
      <c r="I1062" s="189"/>
      <c r="J1062" s="190"/>
      <c r="K1062" s="190"/>
      <c r="L1062" s="190"/>
      <c r="M1062" s="191"/>
      <c r="N1062" s="172"/>
      <c r="O1062" s="172"/>
      <c r="P1062" s="172"/>
      <c r="Q1062" s="172"/>
    </row>
    <row r="1063" spans="6:17" s="170" customFormat="1" x14ac:dyDescent="0.2">
      <c r="F1063" s="187"/>
      <c r="G1063" s="187"/>
      <c r="H1063" s="188"/>
      <c r="I1063" s="189"/>
      <c r="J1063" s="190"/>
      <c r="K1063" s="190"/>
      <c r="L1063" s="190"/>
      <c r="M1063" s="191"/>
      <c r="N1063" s="172"/>
      <c r="O1063" s="172"/>
      <c r="P1063" s="172"/>
      <c r="Q1063" s="172"/>
    </row>
    <row r="1064" spans="6:17" s="170" customFormat="1" x14ac:dyDescent="0.2">
      <c r="F1064" s="187"/>
      <c r="G1064" s="187"/>
      <c r="H1064" s="188"/>
      <c r="I1064" s="189"/>
      <c r="J1064" s="190"/>
      <c r="K1064" s="190"/>
      <c r="L1064" s="190"/>
      <c r="M1064" s="191"/>
      <c r="N1064" s="172"/>
      <c r="O1064" s="172"/>
      <c r="P1064" s="172"/>
      <c r="Q1064" s="172"/>
    </row>
    <row r="1065" spans="6:17" s="170" customFormat="1" x14ac:dyDescent="0.2">
      <c r="F1065" s="187"/>
      <c r="G1065" s="187"/>
      <c r="H1065" s="188"/>
      <c r="I1065" s="189"/>
      <c r="J1065" s="190"/>
      <c r="K1065" s="190"/>
      <c r="L1065" s="190"/>
      <c r="M1065" s="191"/>
      <c r="N1065" s="172"/>
      <c r="O1065" s="172"/>
      <c r="P1065" s="172"/>
      <c r="Q1065" s="172"/>
    </row>
    <row r="1066" spans="6:17" s="170" customFormat="1" x14ac:dyDescent="0.2">
      <c r="F1066" s="187"/>
      <c r="G1066" s="187"/>
      <c r="H1066" s="188"/>
      <c r="I1066" s="189"/>
      <c r="J1066" s="190"/>
      <c r="K1066" s="190"/>
      <c r="L1066" s="190"/>
      <c r="M1066" s="191"/>
      <c r="N1066" s="172"/>
      <c r="O1066" s="172"/>
      <c r="P1066" s="172"/>
      <c r="Q1066" s="172"/>
    </row>
    <row r="1067" spans="6:17" s="170" customFormat="1" x14ac:dyDescent="0.2">
      <c r="F1067" s="187"/>
      <c r="G1067" s="187"/>
      <c r="H1067" s="188"/>
      <c r="I1067" s="189"/>
      <c r="J1067" s="190"/>
      <c r="K1067" s="190"/>
      <c r="L1067" s="190"/>
      <c r="M1067" s="191"/>
      <c r="N1067" s="172"/>
      <c r="O1067" s="172"/>
      <c r="P1067" s="172"/>
      <c r="Q1067" s="172"/>
    </row>
    <row r="1068" spans="6:17" s="170" customFormat="1" x14ac:dyDescent="0.2">
      <c r="F1068" s="187"/>
      <c r="G1068" s="187"/>
      <c r="H1068" s="188"/>
      <c r="I1068" s="189"/>
      <c r="J1068" s="190"/>
      <c r="K1068" s="190"/>
      <c r="L1068" s="190"/>
      <c r="M1068" s="191"/>
      <c r="N1068" s="172"/>
      <c r="O1068" s="172"/>
      <c r="P1068" s="172"/>
      <c r="Q1068" s="172"/>
    </row>
    <row r="1069" spans="6:17" s="170" customFormat="1" x14ac:dyDescent="0.2">
      <c r="F1069" s="187"/>
      <c r="G1069" s="187"/>
      <c r="H1069" s="188"/>
      <c r="I1069" s="189"/>
      <c r="J1069" s="190"/>
      <c r="K1069" s="190"/>
      <c r="L1069" s="190"/>
      <c r="M1069" s="191"/>
      <c r="N1069" s="172"/>
      <c r="O1069" s="172"/>
      <c r="P1069" s="172"/>
      <c r="Q1069" s="172"/>
    </row>
    <row r="1070" spans="6:17" s="170" customFormat="1" x14ac:dyDescent="0.2">
      <c r="F1070" s="187"/>
      <c r="G1070" s="187"/>
      <c r="H1070" s="188"/>
      <c r="I1070" s="189"/>
      <c r="J1070" s="190"/>
      <c r="K1070" s="190"/>
      <c r="L1070" s="190"/>
      <c r="M1070" s="191"/>
      <c r="N1070" s="172"/>
      <c r="O1070" s="172"/>
      <c r="P1070" s="172"/>
      <c r="Q1070" s="172"/>
    </row>
    <row r="1071" spans="6:17" s="170" customFormat="1" x14ac:dyDescent="0.2">
      <c r="F1071" s="187"/>
      <c r="G1071" s="187"/>
      <c r="H1071" s="188"/>
      <c r="I1071" s="189"/>
      <c r="J1071" s="190"/>
      <c r="K1071" s="190"/>
      <c r="L1071" s="190"/>
      <c r="M1071" s="191"/>
      <c r="N1071" s="172"/>
      <c r="O1071" s="172"/>
      <c r="P1071" s="172"/>
      <c r="Q1071" s="172"/>
    </row>
    <row r="1072" spans="6:17" s="170" customFormat="1" x14ac:dyDescent="0.2">
      <c r="F1072" s="187"/>
      <c r="G1072" s="187"/>
      <c r="H1072" s="188"/>
      <c r="I1072" s="189"/>
      <c r="J1072" s="190"/>
      <c r="K1072" s="190"/>
      <c r="L1072" s="190"/>
      <c r="M1072" s="191"/>
      <c r="N1072" s="172"/>
      <c r="O1072" s="172"/>
      <c r="P1072" s="172"/>
      <c r="Q1072" s="172"/>
    </row>
    <row r="1073" spans="6:17" s="170" customFormat="1" x14ac:dyDescent="0.2">
      <c r="F1073" s="187"/>
      <c r="G1073" s="187"/>
      <c r="H1073" s="188"/>
      <c r="I1073" s="189"/>
      <c r="J1073" s="190"/>
      <c r="K1073" s="190"/>
      <c r="L1073" s="190"/>
      <c r="M1073" s="191"/>
      <c r="N1073" s="172"/>
      <c r="O1073" s="172"/>
      <c r="P1073" s="172"/>
      <c r="Q1073" s="172"/>
    </row>
    <row r="1074" spans="6:17" s="170" customFormat="1" x14ac:dyDescent="0.2">
      <c r="F1074" s="187"/>
      <c r="G1074" s="187"/>
      <c r="H1074" s="188"/>
      <c r="I1074" s="189"/>
      <c r="J1074" s="190"/>
      <c r="K1074" s="190"/>
      <c r="L1074" s="190"/>
      <c r="M1074" s="191"/>
      <c r="N1074" s="172"/>
      <c r="O1074" s="172"/>
      <c r="P1074" s="172"/>
      <c r="Q1074" s="172"/>
    </row>
    <row r="1075" spans="6:17" s="170" customFormat="1" x14ac:dyDescent="0.2">
      <c r="F1075" s="187"/>
      <c r="G1075" s="187"/>
      <c r="H1075" s="188"/>
      <c r="I1075" s="189"/>
      <c r="J1075" s="190"/>
      <c r="K1075" s="190"/>
      <c r="L1075" s="190"/>
      <c r="M1075" s="191"/>
      <c r="N1075" s="172"/>
      <c r="O1075" s="172"/>
      <c r="P1075" s="172"/>
      <c r="Q1075" s="172"/>
    </row>
    <row r="1076" spans="6:17" s="170" customFormat="1" x14ac:dyDescent="0.2">
      <c r="F1076" s="187"/>
      <c r="G1076" s="187"/>
      <c r="H1076" s="188"/>
      <c r="I1076" s="189"/>
      <c r="J1076" s="190"/>
      <c r="K1076" s="190"/>
      <c r="L1076" s="190"/>
      <c r="M1076" s="191"/>
      <c r="N1076" s="172"/>
      <c r="O1076" s="172"/>
      <c r="P1076" s="172"/>
      <c r="Q1076" s="172"/>
    </row>
    <row r="1077" spans="6:17" s="170" customFormat="1" x14ac:dyDescent="0.2">
      <c r="F1077" s="187"/>
      <c r="G1077" s="187"/>
      <c r="H1077" s="188"/>
      <c r="I1077" s="189"/>
      <c r="J1077" s="190"/>
      <c r="K1077" s="190"/>
      <c r="L1077" s="190"/>
      <c r="M1077" s="191"/>
      <c r="N1077" s="172"/>
      <c r="O1077" s="172"/>
      <c r="P1077" s="172"/>
      <c r="Q1077" s="172"/>
    </row>
    <row r="1078" spans="6:17" s="170" customFormat="1" x14ac:dyDescent="0.2">
      <c r="F1078" s="187"/>
      <c r="G1078" s="187"/>
      <c r="H1078" s="188"/>
      <c r="I1078" s="189"/>
      <c r="J1078" s="190"/>
      <c r="K1078" s="190"/>
      <c r="L1078" s="190"/>
      <c r="M1078" s="191"/>
      <c r="N1078" s="172"/>
      <c r="O1078" s="172"/>
      <c r="P1078" s="172"/>
      <c r="Q1078" s="172"/>
    </row>
    <row r="1079" spans="6:17" s="170" customFormat="1" x14ac:dyDescent="0.2">
      <c r="F1079" s="187"/>
      <c r="G1079" s="187"/>
      <c r="H1079" s="188"/>
      <c r="I1079" s="189"/>
      <c r="J1079" s="190"/>
      <c r="K1079" s="190"/>
      <c r="L1079" s="190"/>
      <c r="M1079" s="191"/>
      <c r="N1079" s="172"/>
      <c r="O1079" s="172"/>
      <c r="P1079" s="172"/>
      <c r="Q1079" s="172"/>
    </row>
    <row r="1080" spans="6:17" s="170" customFormat="1" x14ac:dyDescent="0.2">
      <c r="F1080" s="187"/>
      <c r="G1080" s="187"/>
      <c r="H1080" s="188"/>
      <c r="I1080" s="189"/>
      <c r="J1080" s="190"/>
      <c r="K1080" s="190"/>
      <c r="L1080" s="190"/>
      <c r="M1080" s="191"/>
      <c r="N1080" s="172"/>
      <c r="O1080" s="172"/>
      <c r="P1080" s="172"/>
      <c r="Q1080" s="172"/>
    </row>
    <row r="1081" spans="6:17" s="170" customFormat="1" x14ac:dyDescent="0.2">
      <c r="F1081" s="187"/>
      <c r="G1081" s="187"/>
      <c r="H1081" s="188"/>
      <c r="I1081" s="189"/>
      <c r="J1081" s="190"/>
      <c r="K1081" s="190"/>
      <c r="L1081" s="190"/>
      <c r="M1081" s="191"/>
      <c r="N1081" s="172"/>
      <c r="O1081" s="172"/>
      <c r="P1081" s="172"/>
      <c r="Q1081" s="172"/>
    </row>
    <row r="1082" spans="6:17" s="170" customFormat="1" x14ac:dyDescent="0.2">
      <c r="F1082" s="187"/>
      <c r="G1082" s="187"/>
      <c r="H1082" s="188"/>
      <c r="I1082" s="189"/>
      <c r="J1082" s="190"/>
      <c r="K1082" s="190"/>
      <c r="L1082" s="190"/>
      <c r="M1082" s="191"/>
      <c r="N1082" s="172"/>
      <c r="O1082" s="172"/>
      <c r="P1082" s="172"/>
      <c r="Q1082" s="172"/>
    </row>
    <row r="1083" spans="6:17" s="170" customFormat="1" x14ac:dyDescent="0.2">
      <c r="F1083" s="187"/>
      <c r="G1083" s="187"/>
      <c r="H1083" s="188"/>
      <c r="I1083" s="189"/>
      <c r="J1083" s="190"/>
      <c r="K1083" s="190"/>
      <c r="L1083" s="190"/>
      <c r="M1083" s="191"/>
      <c r="N1083" s="172"/>
      <c r="O1083" s="172"/>
      <c r="P1083" s="172"/>
      <c r="Q1083" s="172"/>
    </row>
    <row r="1084" spans="6:17" s="170" customFormat="1" x14ac:dyDescent="0.2">
      <c r="F1084" s="187"/>
      <c r="G1084" s="187"/>
      <c r="H1084" s="188"/>
      <c r="I1084" s="189"/>
      <c r="J1084" s="190"/>
      <c r="K1084" s="190"/>
      <c r="L1084" s="190"/>
      <c r="M1084" s="191"/>
      <c r="N1084" s="172"/>
      <c r="O1084" s="172"/>
      <c r="P1084" s="172"/>
      <c r="Q1084" s="172"/>
    </row>
    <row r="1085" spans="6:17" s="170" customFormat="1" x14ac:dyDescent="0.2">
      <c r="F1085" s="187"/>
      <c r="G1085" s="187"/>
      <c r="H1085" s="188"/>
      <c r="I1085" s="189"/>
      <c r="J1085" s="190"/>
      <c r="K1085" s="190"/>
      <c r="L1085" s="190"/>
      <c r="M1085" s="191"/>
      <c r="N1085" s="172"/>
      <c r="O1085" s="172"/>
      <c r="P1085" s="172"/>
      <c r="Q1085" s="172"/>
    </row>
    <row r="1086" spans="6:17" s="170" customFormat="1" x14ac:dyDescent="0.2">
      <c r="F1086" s="187"/>
      <c r="G1086" s="187"/>
      <c r="H1086" s="188"/>
      <c r="I1086" s="189"/>
      <c r="J1086" s="190"/>
      <c r="K1086" s="190"/>
      <c r="L1086" s="190"/>
      <c r="M1086" s="191"/>
      <c r="N1086" s="172"/>
      <c r="O1086" s="172"/>
      <c r="P1086" s="172"/>
      <c r="Q1086" s="172"/>
    </row>
    <row r="1087" spans="6:17" s="170" customFormat="1" x14ac:dyDescent="0.2">
      <c r="F1087" s="187"/>
      <c r="G1087" s="187"/>
      <c r="H1087" s="188"/>
      <c r="I1087" s="189"/>
      <c r="J1087" s="190"/>
      <c r="K1087" s="190"/>
      <c r="L1087" s="190"/>
      <c r="M1087" s="191"/>
      <c r="N1087" s="172"/>
      <c r="O1087" s="172"/>
      <c r="P1087" s="172"/>
      <c r="Q1087" s="172"/>
    </row>
    <row r="1088" spans="6:17" s="170" customFormat="1" x14ac:dyDescent="0.2">
      <c r="F1088" s="187"/>
      <c r="G1088" s="187"/>
      <c r="H1088" s="188"/>
      <c r="I1088" s="189"/>
      <c r="J1088" s="190"/>
      <c r="K1088" s="190"/>
      <c r="L1088" s="190"/>
      <c r="M1088" s="191"/>
      <c r="N1088" s="172"/>
      <c r="O1088" s="172"/>
      <c r="P1088" s="172"/>
      <c r="Q1088" s="172"/>
    </row>
    <row r="1089" spans="6:17" s="170" customFormat="1" x14ac:dyDescent="0.2">
      <c r="F1089" s="187"/>
      <c r="G1089" s="187"/>
      <c r="H1089" s="188"/>
      <c r="I1089" s="189"/>
      <c r="J1089" s="190"/>
      <c r="K1089" s="190"/>
      <c r="L1089" s="190"/>
      <c r="M1089" s="191"/>
      <c r="N1089" s="172"/>
      <c r="O1089" s="172"/>
      <c r="P1089" s="172"/>
      <c r="Q1089" s="172"/>
    </row>
    <row r="1090" spans="6:17" s="170" customFormat="1" x14ac:dyDescent="0.2">
      <c r="F1090" s="187"/>
      <c r="G1090" s="187"/>
      <c r="H1090" s="188"/>
      <c r="I1090" s="189"/>
      <c r="J1090" s="190"/>
      <c r="K1090" s="190"/>
      <c r="L1090" s="190"/>
      <c r="M1090" s="191"/>
      <c r="N1090" s="172"/>
      <c r="O1090" s="172"/>
      <c r="P1090" s="172"/>
      <c r="Q1090" s="172"/>
    </row>
    <row r="1091" spans="6:17" s="170" customFormat="1" x14ac:dyDescent="0.2">
      <c r="F1091" s="187"/>
      <c r="G1091" s="187"/>
      <c r="H1091" s="188"/>
      <c r="I1091" s="189"/>
      <c r="J1091" s="190"/>
      <c r="K1091" s="190"/>
      <c r="L1091" s="190"/>
      <c r="M1091" s="191"/>
      <c r="N1091" s="172"/>
      <c r="O1091" s="172"/>
      <c r="P1091" s="172"/>
      <c r="Q1091" s="172"/>
    </row>
    <row r="1092" spans="6:17" s="170" customFormat="1" x14ac:dyDescent="0.2">
      <c r="F1092" s="187"/>
      <c r="G1092" s="187"/>
      <c r="H1092" s="188"/>
      <c r="I1092" s="189"/>
      <c r="J1092" s="190"/>
      <c r="K1092" s="190"/>
      <c r="L1092" s="190"/>
      <c r="M1092" s="191"/>
      <c r="N1092" s="172"/>
      <c r="O1092" s="172"/>
      <c r="P1092" s="172"/>
      <c r="Q1092" s="172"/>
    </row>
    <row r="1093" spans="6:17" s="170" customFormat="1" x14ac:dyDescent="0.2">
      <c r="F1093" s="187"/>
      <c r="G1093" s="187"/>
      <c r="H1093" s="188"/>
      <c r="I1093" s="189"/>
      <c r="J1093" s="190"/>
      <c r="K1093" s="190"/>
      <c r="L1093" s="190"/>
      <c r="M1093" s="191"/>
      <c r="N1093" s="172"/>
      <c r="O1093" s="172"/>
      <c r="P1093" s="172"/>
      <c r="Q1093" s="172"/>
    </row>
    <row r="1094" spans="6:17" s="170" customFormat="1" x14ac:dyDescent="0.2">
      <c r="F1094" s="187"/>
      <c r="G1094" s="187"/>
      <c r="H1094" s="188"/>
      <c r="I1094" s="189"/>
      <c r="J1094" s="190"/>
      <c r="K1094" s="190"/>
      <c r="L1094" s="190"/>
      <c r="M1094" s="191"/>
      <c r="N1094" s="172"/>
      <c r="O1094" s="172"/>
      <c r="P1094" s="172"/>
      <c r="Q1094" s="172"/>
    </row>
    <row r="1095" spans="6:17" s="170" customFormat="1" x14ac:dyDescent="0.2">
      <c r="F1095" s="187"/>
      <c r="G1095" s="187"/>
      <c r="H1095" s="188"/>
      <c r="I1095" s="189"/>
      <c r="J1095" s="190"/>
      <c r="K1095" s="190"/>
      <c r="L1095" s="190"/>
      <c r="M1095" s="191"/>
      <c r="N1095" s="172"/>
      <c r="O1095" s="172"/>
      <c r="P1095" s="172"/>
      <c r="Q1095" s="172"/>
    </row>
    <row r="1096" spans="6:17" s="170" customFormat="1" x14ac:dyDescent="0.2">
      <c r="F1096" s="187"/>
      <c r="G1096" s="187"/>
      <c r="H1096" s="188"/>
      <c r="I1096" s="189"/>
      <c r="J1096" s="190"/>
      <c r="K1096" s="190"/>
      <c r="L1096" s="190"/>
      <c r="M1096" s="191"/>
      <c r="N1096" s="172"/>
      <c r="O1096" s="172"/>
      <c r="P1096" s="172"/>
      <c r="Q1096" s="172"/>
    </row>
    <row r="1097" spans="6:17" s="170" customFormat="1" x14ac:dyDescent="0.2">
      <c r="F1097" s="187"/>
      <c r="G1097" s="187"/>
      <c r="H1097" s="188"/>
      <c r="I1097" s="189"/>
      <c r="J1097" s="190"/>
      <c r="K1097" s="190"/>
      <c r="L1097" s="190"/>
      <c r="M1097" s="191"/>
      <c r="N1097" s="172"/>
      <c r="O1097" s="172"/>
      <c r="P1097" s="172"/>
      <c r="Q1097" s="172"/>
    </row>
    <row r="1098" spans="6:17" s="170" customFormat="1" x14ac:dyDescent="0.2">
      <c r="F1098" s="187"/>
      <c r="G1098" s="187"/>
      <c r="H1098" s="188"/>
      <c r="I1098" s="189"/>
      <c r="J1098" s="190"/>
      <c r="K1098" s="190"/>
      <c r="L1098" s="190"/>
      <c r="M1098" s="191"/>
      <c r="N1098" s="172"/>
      <c r="O1098" s="172"/>
      <c r="P1098" s="172"/>
      <c r="Q1098" s="172"/>
    </row>
    <row r="1099" spans="6:17" s="170" customFormat="1" x14ac:dyDescent="0.2">
      <c r="F1099" s="187"/>
      <c r="G1099" s="187"/>
      <c r="H1099" s="188"/>
      <c r="I1099" s="189"/>
      <c r="J1099" s="190"/>
      <c r="K1099" s="190"/>
      <c r="L1099" s="190"/>
      <c r="M1099" s="191"/>
      <c r="N1099" s="172"/>
      <c r="O1099" s="172"/>
      <c r="P1099" s="172"/>
      <c r="Q1099" s="172"/>
    </row>
    <row r="1100" spans="6:17" s="170" customFormat="1" x14ac:dyDescent="0.2">
      <c r="F1100" s="187"/>
      <c r="G1100" s="187"/>
      <c r="H1100" s="188"/>
      <c r="I1100" s="189"/>
      <c r="J1100" s="190"/>
      <c r="K1100" s="190"/>
      <c r="L1100" s="190"/>
      <c r="M1100" s="191"/>
      <c r="N1100" s="172"/>
      <c r="O1100" s="172"/>
      <c r="P1100" s="172"/>
      <c r="Q1100" s="172"/>
    </row>
    <row r="1101" spans="6:17" s="170" customFormat="1" x14ac:dyDescent="0.2">
      <c r="F1101" s="187"/>
      <c r="G1101" s="187"/>
      <c r="H1101" s="188"/>
      <c r="I1101" s="189"/>
      <c r="J1101" s="190"/>
      <c r="K1101" s="190"/>
      <c r="L1101" s="190"/>
      <c r="M1101" s="191"/>
      <c r="N1101" s="172"/>
      <c r="O1101" s="172"/>
      <c r="P1101" s="172"/>
      <c r="Q1101" s="172"/>
    </row>
    <row r="1102" spans="6:17" s="170" customFormat="1" x14ac:dyDescent="0.2">
      <c r="F1102" s="187"/>
      <c r="G1102" s="187"/>
      <c r="H1102" s="188"/>
      <c r="I1102" s="189"/>
      <c r="J1102" s="190"/>
      <c r="K1102" s="190"/>
      <c r="L1102" s="190"/>
      <c r="M1102" s="191"/>
      <c r="N1102" s="172"/>
      <c r="O1102" s="172"/>
      <c r="P1102" s="172"/>
      <c r="Q1102" s="172"/>
    </row>
    <row r="1103" spans="6:17" s="170" customFormat="1" x14ac:dyDescent="0.2">
      <c r="F1103" s="187"/>
      <c r="G1103" s="187"/>
      <c r="H1103" s="188"/>
      <c r="I1103" s="189"/>
      <c r="J1103" s="190"/>
      <c r="K1103" s="190"/>
      <c r="L1103" s="190"/>
      <c r="M1103" s="191"/>
      <c r="N1103" s="172"/>
      <c r="O1103" s="172"/>
      <c r="P1103" s="172"/>
      <c r="Q1103" s="172"/>
    </row>
    <row r="1104" spans="6:17" s="170" customFormat="1" x14ac:dyDescent="0.2">
      <c r="F1104" s="187"/>
      <c r="G1104" s="187"/>
      <c r="H1104" s="188"/>
      <c r="I1104" s="189"/>
      <c r="J1104" s="190"/>
      <c r="K1104" s="190"/>
      <c r="L1104" s="190"/>
      <c r="M1104" s="191"/>
      <c r="N1104" s="172"/>
      <c r="O1104" s="172"/>
      <c r="P1104" s="172"/>
      <c r="Q1104" s="172"/>
    </row>
    <row r="1105" spans="6:17" s="170" customFormat="1" x14ac:dyDescent="0.2">
      <c r="F1105" s="187"/>
      <c r="G1105" s="187"/>
      <c r="H1105" s="188"/>
      <c r="I1105" s="189"/>
      <c r="J1105" s="190"/>
      <c r="K1105" s="190"/>
      <c r="L1105" s="190"/>
      <c r="M1105" s="191"/>
      <c r="N1105" s="172"/>
      <c r="O1105" s="172"/>
      <c r="P1105" s="172"/>
      <c r="Q1105" s="172"/>
    </row>
    <row r="1106" spans="6:17" s="170" customFormat="1" x14ac:dyDescent="0.2">
      <c r="F1106" s="187"/>
      <c r="G1106" s="187"/>
      <c r="H1106" s="188"/>
      <c r="I1106" s="189"/>
      <c r="J1106" s="190"/>
      <c r="K1106" s="190"/>
      <c r="L1106" s="190"/>
      <c r="M1106" s="191"/>
      <c r="N1106" s="172"/>
      <c r="O1106" s="172"/>
      <c r="P1106" s="172"/>
      <c r="Q1106" s="172"/>
    </row>
    <row r="1107" spans="6:17" s="170" customFormat="1" x14ac:dyDescent="0.2">
      <c r="F1107" s="187"/>
      <c r="G1107" s="187"/>
      <c r="H1107" s="188"/>
      <c r="I1107" s="189"/>
      <c r="J1107" s="190"/>
      <c r="K1107" s="190"/>
      <c r="L1107" s="190"/>
      <c r="M1107" s="191"/>
      <c r="N1107" s="172"/>
      <c r="O1107" s="172"/>
      <c r="P1107" s="172"/>
      <c r="Q1107" s="172"/>
    </row>
    <row r="1108" spans="6:17" s="170" customFormat="1" x14ac:dyDescent="0.2">
      <c r="F1108" s="187"/>
      <c r="G1108" s="187"/>
      <c r="H1108" s="188"/>
      <c r="I1108" s="189"/>
      <c r="J1108" s="190"/>
      <c r="K1108" s="190"/>
      <c r="L1108" s="190"/>
      <c r="M1108" s="191"/>
      <c r="N1108" s="172"/>
      <c r="O1108" s="172"/>
      <c r="P1108" s="172"/>
      <c r="Q1108" s="172"/>
    </row>
    <row r="1109" spans="6:17" s="170" customFormat="1" x14ac:dyDescent="0.2">
      <c r="F1109" s="187"/>
      <c r="G1109" s="187"/>
      <c r="H1109" s="188"/>
      <c r="I1109" s="189"/>
      <c r="J1109" s="190"/>
      <c r="K1109" s="190"/>
      <c r="L1109" s="190"/>
      <c r="M1109" s="191"/>
      <c r="N1109" s="172"/>
      <c r="O1109" s="172"/>
      <c r="P1109" s="172"/>
      <c r="Q1109" s="172"/>
    </row>
    <row r="1110" spans="6:17" s="170" customFormat="1" x14ac:dyDescent="0.2">
      <c r="F1110" s="187"/>
      <c r="G1110" s="187"/>
      <c r="H1110" s="188"/>
      <c r="I1110" s="189"/>
      <c r="J1110" s="190"/>
      <c r="K1110" s="190"/>
      <c r="L1110" s="190"/>
      <c r="M1110" s="191"/>
      <c r="N1110" s="172"/>
      <c r="O1110" s="172"/>
      <c r="P1110" s="172"/>
      <c r="Q1110" s="172"/>
    </row>
    <row r="1111" spans="6:17" s="170" customFormat="1" x14ac:dyDescent="0.2">
      <c r="F1111" s="187"/>
      <c r="G1111" s="187"/>
      <c r="H1111" s="188"/>
      <c r="I1111" s="189"/>
      <c r="J1111" s="190"/>
      <c r="K1111" s="190"/>
      <c r="L1111" s="190"/>
      <c r="M1111" s="191"/>
      <c r="N1111" s="172"/>
      <c r="O1111" s="172"/>
      <c r="P1111" s="172"/>
      <c r="Q1111" s="172"/>
    </row>
    <row r="1112" spans="6:17" s="170" customFormat="1" x14ac:dyDescent="0.2">
      <c r="F1112" s="187"/>
      <c r="G1112" s="187"/>
      <c r="H1112" s="188"/>
      <c r="I1112" s="189"/>
      <c r="J1112" s="190"/>
      <c r="K1112" s="190"/>
      <c r="L1112" s="190"/>
      <c r="M1112" s="191"/>
      <c r="N1112" s="172"/>
      <c r="O1112" s="172"/>
      <c r="P1112" s="172"/>
      <c r="Q1112" s="172"/>
    </row>
    <row r="1113" spans="6:17" s="170" customFormat="1" x14ac:dyDescent="0.2">
      <c r="F1113" s="187"/>
      <c r="G1113" s="187"/>
      <c r="H1113" s="188"/>
      <c r="I1113" s="189"/>
      <c r="J1113" s="190"/>
      <c r="K1113" s="190"/>
      <c r="L1113" s="190"/>
      <c r="M1113" s="191"/>
      <c r="N1113" s="172"/>
      <c r="O1113" s="172"/>
      <c r="P1113" s="172"/>
      <c r="Q1113" s="172"/>
    </row>
    <row r="1114" spans="6:17" s="170" customFormat="1" x14ac:dyDescent="0.2">
      <c r="F1114" s="187"/>
      <c r="G1114" s="187"/>
      <c r="H1114" s="188"/>
      <c r="I1114" s="189"/>
      <c r="J1114" s="190"/>
      <c r="K1114" s="190"/>
      <c r="L1114" s="190"/>
      <c r="M1114" s="191"/>
      <c r="N1114" s="172"/>
      <c r="O1114" s="172"/>
      <c r="P1114" s="172"/>
      <c r="Q1114" s="172"/>
    </row>
    <row r="1115" spans="6:17" s="170" customFormat="1" x14ac:dyDescent="0.2">
      <c r="F1115" s="187"/>
      <c r="G1115" s="187"/>
      <c r="H1115" s="188"/>
      <c r="I1115" s="189"/>
      <c r="J1115" s="190"/>
      <c r="K1115" s="190"/>
      <c r="L1115" s="190"/>
      <c r="M1115" s="191"/>
      <c r="N1115" s="172"/>
      <c r="O1115" s="172"/>
      <c r="P1115" s="172"/>
      <c r="Q1115" s="172"/>
    </row>
    <row r="1116" spans="6:17" s="170" customFormat="1" x14ac:dyDescent="0.2">
      <c r="F1116" s="187"/>
      <c r="G1116" s="187"/>
      <c r="H1116" s="188"/>
      <c r="I1116" s="189"/>
      <c r="J1116" s="190"/>
      <c r="K1116" s="190"/>
      <c r="L1116" s="190"/>
      <c r="M1116" s="191"/>
      <c r="N1116" s="172"/>
      <c r="O1116" s="172"/>
      <c r="P1116" s="172"/>
      <c r="Q1116" s="172"/>
    </row>
    <row r="1117" spans="6:17" s="170" customFormat="1" x14ac:dyDescent="0.2">
      <c r="F1117" s="187"/>
      <c r="G1117" s="187"/>
      <c r="H1117" s="188"/>
      <c r="I1117" s="189"/>
      <c r="J1117" s="190"/>
      <c r="K1117" s="190"/>
      <c r="L1117" s="190"/>
      <c r="M1117" s="191"/>
      <c r="N1117" s="172"/>
      <c r="O1117" s="172"/>
      <c r="P1117" s="172"/>
      <c r="Q1117" s="172"/>
    </row>
    <row r="1118" spans="6:17" s="170" customFormat="1" x14ac:dyDescent="0.2">
      <c r="F1118" s="187"/>
      <c r="G1118" s="187"/>
      <c r="H1118" s="188"/>
      <c r="I1118" s="189"/>
      <c r="J1118" s="190"/>
      <c r="K1118" s="190"/>
      <c r="L1118" s="190"/>
      <c r="M1118" s="191"/>
      <c r="N1118" s="172"/>
      <c r="O1118" s="172"/>
      <c r="P1118" s="172"/>
      <c r="Q1118" s="172"/>
    </row>
    <row r="1119" spans="6:17" s="170" customFormat="1" x14ac:dyDescent="0.2">
      <c r="F1119" s="187"/>
      <c r="G1119" s="187"/>
      <c r="H1119" s="188"/>
      <c r="I1119" s="189"/>
      <c r="J1119" s="190"/>
      <c r="K1119" s="190"/>
      <c r="L1119" s="190"/>
      <c r="M1119" s="191"/>
      <c r="N1119" s="172"/>
      <c r="O1119" s="172"/>
      <c r="P1119" s="172"/>
      <c r="Q1119" s="172"/>
    </row>
    <row r="1120" spans="6:17" s="170" customFormat="1" x14ac:dyDescent="0.2">
      <c r="F1120" s="187"/>
      <c r="G1120" s="187"/>
      <c r="H1120" s="188"/>
      <c r="I1120" s="189"/>
      <c r="J1120" s="190"/>
      <c r="K1120" s="190"/>
      <c r="L1120" s="190"/>
      <c r="M1120" s="191"/>
      <c r="N1120" s="172"/>
      <c r="O1120" s="172"/>
      <c r="P1120" s="172"/>
      <c r="Q1120" s="172"/>
    </row>
    <row r="1121" spans="6:17" s="170" customFormat="1" x14ac:dyDescent="0.2">
      <c r="F1121" s="187"/>
      <c r="G1121" s="187"/>
      <c r="H1121" s="188"/>
      <c r="I1121" s="189"/>
      <c r="J1121" s="190"/>
      <c r="K1121" s="190"/>
      <c r="L1121" s="190"/>
      <c r="M1121" s="191"/>
      <c r="N1121" s="172"/>
      <c r="O1121" s="172"/>
      <c r="P1121" s="172"/>
      <c r="Q1121" s="172"/>
    </row>
    <row r="1122" spans="6:17" s="170" customFormat="1" x14ac:dyDescent="0.2">
      <c r="F1122" s="187"/>
      <c r="G1122" s="187"/>
      <c r="H1122" s="188"/>
      <c r="I1122" s="189"/>
      <c r="J1122" s="190"/>
      <c r="K1122" s="190"/>
      <c r="L1122" s="190"/>
      <c r="M1122" s="191"/>
      <c r="N1122" s="172"/>
      <c r="O1122" s="172"/>
      <c r="P1122" s="172"/>
      <c r="Q1122" s="172"/>
    </row>
    <row r="1123" spans="6:17" s="170" customFormat="1" x14ac:dyDescent="0.2">
      <c r="F1123" s="187"/>
      <c r="G1123" s="187"/>
      <c r="H1123" s="188"/>
      <c r="I1123" s="189"/>
      <c r="J1123" s="190"/>
      <c r="K1123" s="190"/>
      <c r="L1123" s="190"/>
      <c r="M1123" s="191"/>
      <c r="N1123" s="172"/>
      <c r="O1123" s="172"/>
      <c r="P1123" s="172"/>
      <c r="Q1123" s="172"/>
    </row>
    <row r="1124" spans="6:17" s="170" customFormat="1" x14ac:dyDescent="0.2">
      <c r="F1124" s="187"/>
      <c r="G1124" s="187"/>
      <c r="H1124" s="188"/>
      <c r="I1124" s="189"/>
      <c r="J1124" s="190"/>
      <c r="K1124" s="190"/>
      <c r="L1124" s="190"/>
      <c r="M1124" s="191"/>
      <c r="N1124" s="172"/>
      <c r="O1124" s="172"/>
      <c r="P1124" s="172"/>
      <c r="Q1124" s="172"/>
    </row>
    <row r="1125" spans="6:17" s="170" customFormat="1" x14ac:dyDescent="0.2">
      <c r="F1125" s="187"/>
      <c r="G1125" s="187"/>
      <c r="H1125" s="188"/>
      <c r="I1125" s="189"/>
      <c r="J1125" s="190"/>
      <c r="K1125" s="190"/>
      <c r="L1125" s="190"/>
      <c r="M1125" s="191"/>
      <c r="N1125" s="172"/>
      <c r="O1125" s="172"/>
      <c r="P1125" s="172"/>
      <c r="Q1125" s="172"/>
    </row>
    <row r="1126" spans="6:17" s="170" customFormat="1" x14ac:dyDescent="0.2">
      <c r="F1126" s="187"/>
      <c r="G1126" s="187"/>
      <c r="H1126" s="188"/>
      <c r="I1126" s="189"/>
      <c r="J1126" s="190"/>
      <c r="K1126" s="190"/>
      <c r="L1126" s="190"/>
      <c r="M1126" s="191"/>
      <c r="N1126" s="172"/>
      <c r="O1126" s="172"/>
      <c r="P1126" s="172"/>
      <c r="Q1126" s="172"/>
    </row>
    <row r="1127" spans="6:17" s="170" customFormat="1" x14ac:dyDescent="0.2">
      <c r="F1127" s="187"/>
      <c r="G1127" s="187"/>
      <c r="H1127" s="188"/>
      <c r="I1127" s="189"/>
      <c r="J1127" s="190"/>
      <c r="K1127" s="190"/>
      <c r="L1127" s="190"/>
      <c r="M1127" s="191"/>
      <c r="N1127" s="172"/>
      <c r="O1127" s="172"/>
      <c r="P1127" s="172"/>
      <c r="Q1127" s="172"/>
    </row>
    <row r="1128" spans="6:17" s="170" customFormat="1" x14ac:dyDescent="0.2">
      <c r="F1128" s="187"/>
      <c r="G1128" s="187"/>
      <c r="H1128" s="188"/>
      <c r="I1128" s="189"/>
      <c r="J1128" s="190"/>
      <c r="K1128" s="190"/>
      <c r="L1128" s="190"/>
      <c r="M1128" s="191"/>
      <c r="N1128" s="172"/>
      <c r="O1128" s="172"/>
      <c r="P1128" s="172"/>
      <c r="Q1128" s="172"/>
    </row>
    <row r="1129" spans="6:17" s="170" customFormat="1" x14ac:dyDescent="0.2">
      <c r="F1129" s="187"/>
      <c r="G1129" s="187"/>
      <c r="H1129" s="188"/>
      <c r="I1129" s="189"/>
      <c r="J1129" s="190"/>
      <c r="K1129" s="190"/>
      <c r="L1129" s="190"/>
      <c r="M1129" s="191"/>
      <c r="N1129" s="172"/>
      <c r="O1129" s="172"/>
      <c r="P1129" s="172"/>
      <c r="Q1129" s="172"/>
    </row>
    <row r="1130" spans="6:17" s="170" customFormat="1" x14ac:dyDescent="0.2">
      <c r="F1130" s="187"/>
      <c r="G1130" s="187"/>
      <c r="H1130" s="188"/>
      <c r="I1130" s="189"/>
      <c r="J1130" s="190"/>
      <c r="K1130" s="190"/>
      <c r="L1130" s="190"/>
      <c r="M1130" s="191"/>
      <c r="N1130" s="172"/>
      <c r="O1130" s="172"/>
      <c r="P1130" s="172"/>
      <c r="Q1130" s="172"/>
    </row>
    <row r="1131" spans="6:17" s="170" customFormat="1" x14ac:dyDescent="0.2">
      <c r="F1131" s="187"/>
      <c r="G1131" s="187"/>
      <c r="H1131" s="188"/>
      <c r="I1131" s="189"/>
      <c r="J1131" s="190"/>
      <c r="K1131" s="190"/>
      <c r="L1131" s="190"/>
      <c r="M1131" s="191"/>
      <c r="N1131" s="172"/>
      <c r="O1131" s="172"/>
      <c r="P1131" s="172"/>
      <c r="Q1131" s="172"/>
    </row>
    <row r="1132" spans="6:17" s="170" customFormat="1" x14ac:dyDescent="0.2">
      <c r="F1132" s="187"/>
      <c r="G1132" s="187"/>
      <c r="H1132" s="188"/>
      <c r="I1132" s="189"/>
      <c r="J1132" s="190"/>
      <c r="K1132" s="190"/>
      <c r="L1132" s="190"/>
      <c r="M1132" s="191"/>
      <c r="N1132" s="172"/>
      <c r="O1132" s="172"/>
      <c r="P1132" s="172"/>
      <c r="Q1132" s="172"/>
    </row>
    <row r="1133" spans="6:17" s="170" customFormat="1" x14ac:dyDescent="0.2">
      <c r="F1133" s="187"/>
      <c r="G1133" s="187"/>
      <c r="H1133" s="188"/>
      <c r="I1133" s="189"/>
      <c r="J1133" s="190"/>
      <c r="K1133" s="190"/>
      <c r="L1133" s="190"/>
      <c r="M1133" s="191"/>
      <c r="N1133" s="172"/>
      <c r="O1133" s="172"/>
      <c r="P1133" s="172"/>
      <c r="Q1133" s="172"/>
    </row>
    <row r="1134" spans="6:17" s="170" customFormat="1" x14ac:dyDescent="0.2">
      <c r="F1134" s="187"/>
      <c r="G1134" s="187"/>
      <c r="H1134" s="188"/>
      <c r="I1134" s="189"/>
      <c r="J1134" s="190"/>
      <c r="K1134" s="190"/>
      <c r="L1134" s="190"/>
      <c r="M1134" s="191"/>
      <c r="N1134" s="172"/>
      <c r="O1134" s="172"/>
      <c r="P1134" s="172"/>
      <c r="Q1134" s="172"/>
    </row>
    <row r="1135" spans="6:17" s="170" customFormat="1" x14ac:dyDescent="0.2">
      <c r="F1135" s="187"/>
      <c r="G1135" s="187"/>
      <c r="H1135" s="188"/>
      <c r="I1135" s="189"/>
      <c r="J1135" s="190"/>
      <c r="K1135" s="190"/>
      <c r="L1135" s="190"/>
      <c r="M1135" s="191"/>
      <c r="N1135" s="172"/>
      <c r="O1135" s="172"/>
      <c r="P1135" s="172"/>
      <c r="Q1135" s="172"/>
    </row>
    <row r="1136" spans="6:17" s="170" customFormat="1" x14ac:dyDescent="0.2">
      <c r="F1136" s="187"/>
      <c r="G1136" s="187"/>
      <c r="H1136" s="188"/>
      <c r="I1136" s="189"/>
      <c r="J1136" s="190"/>
      <c r="K1136" s="190"/>
      <c r="L1136" s="190"/>
      <c r="M1136" s="191"/>
      <c r="N1136" s="172"/>
      <c r="O1136" s="172"/>
      <c r="P1136" s="172"/>
      <c r="Q1136" s="172"/>
    </row>
    <row r="1137" spans="6:17" s="170" customFormat="1" x14ac:dyDescent="0.2">
      <c r="F1137" s="187"/>
      <c r="G1137" s="187"/>
      <c r="H1137" s="188"/>
      <c r="I1137" s="189"/>
      <c r="J1137" s="190"/>
      <c r="K1137" s="190"/>
      <c r="L1137" s="190"/>
      <c r="M1137" s="191"/>
      <c r="N1137" s="172"/>
      <c r="O1137" s="172"/>
      <c r="P1137" s="172"/>
      <c r="Q1137" s="172"/>
    </row>
    <row r="1138" spans="6:17" s="170" customFormat="1" x14ac:dyDescent="0.2">
      <c r="F1138" s="187"/>
      <c r="G1138" s="187"/>
      <c r="H1138" s="188"/>
      <c r="I1138" s="189"/>
      <c r="J1138" s="190"/>
      <c r="K1138" s="190"/>
      <c r="L1138" s="190"/>
      <c r="M1138" s="191"/>
      <c r="N1138" s="172"/>
      <c r="O1138" s="172"/>
      <c r="P1138" s="172"/>
      <c r="Q1138" s="172"/>
    </row>
    <row r="1139" spans="6:17" s="170" customFormat="1" x14ac:dyDescent="0.2">
      <c r="F1139" s="187"/>
      <c r="G1139" s="187"/>
      <c r="H1139" s="188"/>
      <c r="I1139" s="189"/>
      <c r="J1139" s="190"/>
      <c r="K1139" s="190"/>
      <c r="L1139" s="190"/>
      <c r="M1139" s="191"/>
      <c r="N1139" s="172"/>
      <c r="O1139" s="172"/>
      <c r="P1139" s="172"/>
      <c r="Q1139" s="172"/>
    </row>
    <row r="1140" spans="6:17" s="170" customFormat="1" x14ac:dyDescent="0.2">
      <c r="F1140" s="187"/>
      <c r="G1140" s="187"/>
      <c r="H1140" s="188"/>
      <c r="I1140" s="189"/>
      <c r="J1140" s="190"/>
      <c r="K1140" s="190"/>
      <c r="L1140" s="190"/>
      <c r="M1140" s="191"/>
      <c r="N1140" s="172"/>
      <c r="O1140" s="172"/>
      <c r="P1140" s="172"/>
      <c r="Q1140" s="172"/>
    </row>
    <row r="1141" spans="6:17" s="170" customFormat="1" x14ac:dyDescent="0.2">
      <c r="F1141" s="187"/>
      <c r="G1141" s="187"/>
      <c r="H1141" s="188"/>
      <c r="I1141" s="189"/>
      <c r="J1141" s="190"/>
      <c r="K1141" s="190"/>
      <c r="L1141" s="190"/>
      <c r="M1141" s="191"/>
      <c r="N1141" s="172"/>
      <c r="O1141" s="172"/>
      <c r="P1141" s="172"/>
      <c r="Q1141" s="172"/>
    </row>
    <row r="1142" spans="6:17" s="170" customFormat="1" x14ac:dyDescent="0.2">
      <c r="F1142" s="187"/>
      <c r="G1142" s="187"/>
      <c r="H1142" s="188"/>
      <c r="I1142" s="189"/>
      <c r="J1142" s="190"/>
      <c r="K1142" s="190"/>
      <c r="L1142" s="190"/>
      <c r="M1142" s="191"/>
      <c r="N1142" s="172"/>
      <c r="O1142" s="172"/>
      <c r="P1142" s="172"/>
      <c r="Q1142" s="172"/>
    </row>
    <row r="1143" spans="6:17" s="170" customFormat="1" x14ac:dyDescent="0.2">
      <c r="F1143" s="187"/>
      <c r="G1143" s="187"/>
      <c r="H1143" s="188"/>
      <c r="I1143" s="189"/>
      <c r="J1143" s="190"/>
      <c r="K1143" s="190"/>
      <c r="L1143" s="190"/>
      <c r="M1143" s="191"/>
      <c r="N1143" s="172"/>
      <c r="O1143" s="172"/>
      <c r="P1143" s="172"/>
      <c r="Q1143" s="172"/>
    </row>
    <row r="1144" spans="6:17" s="170" customFormat="1" x14ac:dyDescent="0.2">
      <c r="F1144" s="187"/>
      <c r="G1144" s="187"/>
      <c r="H1144" s="188"/>
      <c r="I1144" s="189"/>
      <c r="J1144" s="190"/>
      <c r="K1144" s="190"/>
      <c r="L1144" s="190"/>
      <c r="M1144" s="191"/>
      <c r="N1144" s="172"/>
      <c r="O1144" s="172"/>
      <c r="P1144" s="172"/>
      <c r="Q1144" s="172"/>
    </row>
    <row r="1145" spans="6:17" s="170" customFormat="1" x14ac:dyDescent="0.2">
      <c r="F1145" s="187"/>
      <c r="G1145" s="187"/>
      <c r="H1145" s="188"/>
      <c r="I1145" s="189"/>
      <c r="J1145" s="190"/>
      <c r="K1145" s="190"/>
      <c r="L1145" s="190"/>
      <c r="M1145" s="191"/>
      <c r="N1145" s="172"/>
      <c r="O1145" s="172"/>
      <c r="P1145" s="172"/>
      <c r="Q1145" s="172"/>
    </row>
    <row r="1146" spans="6:17" s="170" customFormat="1" x14ac:dyDescent="0.2">
      <c r="F1146" s="187"/>
      <c r="G1146" s="187"/>
      <c r="H1146" s="188"/>
      <c r="I1146" s="189"/>
      <c r="J1146" s="190"/>
      <c r="K1146" s="190"/>
      <c r="L1146" s="190"/>
      <c r="M1146" s="191"/>
      <c r="N1146" s="172"/>
      <c r="O1146" s="172"/>
      <c r="P1146" s="172"/>
      <c r="Q1146" s="172"/>
    </row>
    <row r="1147" spans="6:17" s="170" customFormat="1" x14ac:dyDescent="0.2">
      <c r="F1147" s="187"/>
      <c r="G1147" s="187"/>
      <c r="H1147" s="188"/>
      <c r="I1147" s="189"/>
      <c r="J1147" s="190"/>
      <c r="K1147" s="190"/>
      <c r="L1147" s="190"/>
      <c r="M1147" s="191"/>
      <c r="N1147" s="172"/>
      <c r="O1147" s="172"/>
      <c r="P1147" s="172"/>
      <c r="Q1147" s="172"/>
    </row>
    <row r="1148" spans="6:17" s="170" customFormat="1" x14ac:dyDescent="0.2">
      <c r="F1148" s="187"/>
      <c r="G1148" s="187"/>
      <c r="H1148" s="188"/>
      <c r="I1148" s="189"/>
      <c r="J1148" s="190"/>
      <c r="K1148" s="190"/>
      <c r="L1148" s="190"/>
      <c r="M1148" s="191"/>
      <c r="N1148" s="172"/>
      <c r="O1148" s="172"/>
      <c r="P1148" s="172"/>
      <c r="Q1148" s="172"/>
    </row>
    <row r="1149" spans="6:17" s="170" customFormat="1" x14ac:dyDescent="0.2">
      <c r="F1149" s="187"/>
      <c r="G1149" s="187"/>
      <c r="H1149" s="188"/>
      <c r="I1149" s="189"/>
      <c r="J1149" s="190"/>
      <c r="K1149" s="190"/>
      <c r="L1149" s="190"/>
      <c r="M1149" s="191"/>
      <c r="N1149" s="172"/>
      <c r="O1149" s="172"/>
      <c r="P1149" s="172"/>
      <c r="Q1149" s="172"/>
    </row>
    <row r="1150" spans="6:17" s="170" customFormat="1" x14ac:dyDescent="0.2">
      <c r="F1150" s="187"/>
      <c r="G1150" s="187"/>
      <c r="H1150" s="188"/>
      <c r="I1150" s="189"/>
      <c r="J1150" s="190"/>
      <c r="K1150" s="190"/>
      <c r="L1150" s="190"/>
      <c r="M1150" s="191"/>
      <c r="N1150" s="172"/>
      <c r="O1150" s="172"/>
      <c r="P1150" s="172"/>
      <c r="Q1150" s="172"/>
    </row>
    <row r="1151" spans="6:17" s="170" customFormat="1" x14ac:dyDescent="0.2">
      <c r="F1151" s="187"/>
      <c r="G1151" s="187"/>
      <c r="H1151" s="188"/>
      <c r="I1151" s="189"/>
      <c r="J1151" s="190"/>
      <c r="K1151" s="190"/>
      <c r="L1151" s="190"/>
      <c r="M1151" s="191"/>
      <c r="N1151" s="172"/>
      <c r="O1151" s="172"/>
      <c r="P1151" s="172"/>
      <c r="Q1151" s="172"/>
    </row>
    <row r="1152" spans="6:17" s="170" customFormat="1" x14ac:dyDescent="0.2">
      <c r="F1152" s="187"/>
      <c r="G1152" s="187"/>
      <c r="H1152" s="188"/>
      <c r="I1152" s="189"/>
      <c r="J1152" s="190"/>
      <c r="K1152" s="190"/>
      <c r="L1152" s="190"/>
      <c r="M1152" s="191"/>
      <c r="N1152" s="172"/>
      <c r="O1152" s="172"/>
      <c r="P1152" s="172"/>
      <c r="Q1152" s="172"/>
    </row>
    <row r="1153" spans="6:17" s="170" customFormat="1" x14ac:dyDescent="0.2">
      <c r="F1153" s="187"/>
      <c r="G1153" s="187"/>
      <c r="H1153" s="188"/>
      <c r="I1153" s="189"/>
      <c r="J1153" s="190"/>
      <c r="K1153" s="190"/>
      <c r="L1153" s="190"/>
      <c r="M1153" s="191"/>
      <c r="N1153" s="172"/>
      <c r="O1153" s="172"/>
      <c r="P1153" s="172"/>
      <c r="Q1153" s="172"/>
    </row>
    <row r="1154" spans="6:17" s="170" customFormat="1" x14ac:dyDescent="0.2">
      <c r="F1154" s="187"/>
      <c r="G1154" s="187"/>
      <c r="H1154" s="188"/>
      <c r="I1154" s="189"/>
      <c r="J1154" s="190"/>
      <c r="K1154" s="190"/>
      <c r="L1154" s="190"/>
      <c r="M1154" s="191"/>
      <c r="N1154" s="172"/>
      <c r="O1154" s="172"/>
      <c r="P1154" s="172"/>
      <c r="Q1154" s="172"/>
    </row>
    <row r="1155" spans="6:17" s="170" customFormat="1" x14ac:dyDescent="0.2">
      <c r="F1155" s="187"/>
      <c r="G1155" s="187"/>
      <c r="H1155" s="188"/>
      <c r="I1155" s="189"/>
      <c r="J1155" s="190"/>
      <c r="K1155" s="190"/>
      <c r="L1155" s="190"/>
      <c r="M1155" s="191"/>
      <c r="N1155" s="172"/>
      <c r="O1155" s="172"/>
      <c r="P1155" s="172"/>
      <c r="Q1155" s="172"/>
    </row>
    <row r="1156" spans="6:17" s="170" customFormat="1" x14ac:dyDescent="0.2">
      <c r="F1156" s="187"/>
      <c r="G1156" s="187"/>
      <c r="H1156" s="188"/>
      <c r="I1156" s="189"/>
      <c r="J1156" s="190"/>
      <c r="K1156" s="190"/>
      <c r="L1156" s="190"/>
      <c r="M1156" s="191"/>
      <c r="N1156" s="172"/>
      <c r="O1156" s="172"/>
      <c r="P1156" s="172"/>
      <c r="Q1156" s="172"/>
    </row>
    <row r="1157" spans="6:17" s="170" customFormat="1" x14ac:dyDescent="0.2">
      <c r="F1157" s="187"/>
      <c r="G1157" s="187"/>
      <c r="H1157" s="188"/>
      <c r="I1157" s="189"/>
      <c r="J1157" s="190"/>
      <c r="K1157" s="190"/>
      <c r="L1157" s="190"/>
      <c r="M1157" s="191"/>
      <c r="N1157" s="172"/>
      <c r="O1157" s="172"/>
      <c r="P1157" s="172"/>
      <c r="Q1157" s="172"/>
    </row>
    <row r="1158" spans="6:17" s="170" customFormat="1" x14ac:dyDescent="0.2">
      <c r="F1158" s="187"/>
      <c r="G1158" s="187"/>
      <c r="H1158" s="188"/>
      <c r="I1158" s="189"/>
      <c r="J1158" s="190"/>
      <c r="K1158" s="190"/>
      <c r="L1158" s="190"/>
      <c r="M1158" s="191"/>
      <c r="N1158" s="172"/>
      <c r="O1158" s="172"/>
      <c r="P1158" s="172"/>
      <c r="Q1158" s="172"/>
    </row>
    <row r="1159" spans="6:17" s="170" customFormat="1" x14ac:dyDescent="0.2">
      <c r="F1159" s="187"/>
      <c r="G1159" s="187"/>
      <c r="H1159" s="188"/>
      <c r="I1159" s="189"/>
      <c r="J1159" s="190"/>
      <c r="K1159" s="190"/>
      <c r="L1159" s="190"/>
      <c r="M1159" s="191"/>
      <c r="N1159" s="172"/>
      <c r="O1159" s="172"/>
      <c r="P1159" s="172"/>
      <c r="Q1159" s="172"/>
    </row>
    <row r="1160" spans="6:17" s="170" customFormat="1" x14ac:dyDescent="0.2">
      <c r="F1160" s="187"/>
      <c r="G1160" s="187"/>
      <c r="H1160" s="188"/>
      <c r="I1160" s="189"/>
      <c r="J1160" s="190"/>
      <c r="K1160" s="190"/>
      <c r="L1160" s="190"/>
      <c r="M1160" s="191"/>
      <c r="N1160" s="172"/>
      <c r="O1160" s="172"/>
      <c r="P1160" s="172"/>
      <c r="Q1160" s="172"/>
    </row>
    <row r="1161" spans="6:17" s="170" customFormat="1" x14ac:dyDescent="0.2">
      <c r="F1161" s="187"/>
      <c r="G1161" s="187"/>
      <c r="H1161" s="188"/>
      <c r="I1161" s="189"/>
      <c r="J1161" s="190"/>
      <c r="K1161" s="190"/>
      <c r="L1161" s="190"/>
      <c r="M1161" s="191"/>
      <c r="N1161" s="172"/>
      <c r="O1161" s="172"/>
      <c r="P1161" s="172"/>
      <c r="Q1161" s="172"/>
    </row>
    <row r="1162" spans="6:17" s="170" customFormat="1" x14ac:dyDescent="0.2">
      <c r="F1162" s="187"/>
      <c r="G1162" s="187"/>
      <c r="H1162" s="188"/>
      <c r="I1162" s="189"/>
      <c r="J1162" s="190"/>
      <c r="K1162" s="190"/>
      <c r="L1162" s="190"/>
      <c r="M1162" s="191"/>
      <c r="N1162" s="172"/>
      <c r="O1162" s="172"/>
      <c r="P1162" s="172"/>
      <c r="Q1162" s="172"/>
    </row>
    <row r="1163" spans="6:17" s="170" customFormat="1" x14ac:dyDescent="0.2">
      <c r="F1163" s="187"/>
      <c r="G1163" s="187"/>
      <c r="H1163" s="188"/>
      <c r="I1163" s="189"/>
      <c r="J1163" s="190"/>
      <c r="K1163" s="190"/>
      <c r="L1163" s="190"/>
      <c r="M1163" s="191"/>
      <c r="N1163" s="172"/>
      <c r="O1163" s="172"/>
      <c r="P1163" s="172"/>
      <c r="Q1163" s="172"/>
    </row>
    <row r="1164" spans="6:17" s="170" customFormat="1" x14ac:dyDescent="0.2">
      <c r="F1164" s="187"/>
      <c r="G1164" s="187"/>
      <c r="H1164" s="188"/>
      <c r="I1164" s="189"/>
      <c r="J1164" s="190"/>
      <c r="K1164" s="190"/>
      <c r="L1164" s="190"/>
      <c r="M1164" s="191"/>
      <c r="N1164" s="172"/>
      <c r="O1164" s="172"/>
      <c r="P1164" s="172"/>
      <c r="Q1164" s="172"/>
    </row>
    <row r="1165" spans="6:17" s="170" customFormat="1" x14ac:dyDescent="0.2">
      <c r="F1165" s="187"/>
      <c r="G1165" s="187"/>
      <c r="H1165" s="188"/>
      <c r="I1165" s="189"/>
      <c r="J1165" s="190"/>
      <c r="K1165" s="190"/>
      <c r="L1165" s="190"/>
      <c r="M1165" s="191"/>
      <c r="N1165" s="172"/>
      <c r="O1165" s="172"/>
      <c r="P1165" s="172"/>
      <c r="Q1165" s="172"/>
    </row>
    <row r="1166" spans="6:17" s="170" customFormat="1" x14ac:dyDescent="0.2">
      <c r="F1166" s="187"/>
      <c r="G1166" s="187"/>
      <c r="H1166" s="188"/>
      <c r="I1166" s="189"/>
      <c r="J1166" s="190"/>
      <c r="K1166" s="190"/>
      <c r="L1166" s="190"/>
      <c r="M1166" s="191"/>
      <c r="N1166" s="172"/>
      <c r="O1166" s="172"/>
      <c r="P1166" s="172"/>
      <c r="Q1166" s="172"/>
    </row>
    <row r="1167" spans="6:17" s="170" customFormat="1" x14ac:dyDescent="0.2">
      <c r="F1167" s="187"/>
      <c r="G1167" s="187"/>
      <c r="H1167" s="188"/>
      <c r="I1167" s="189"/>
      <c r="J1167" s="190"/>
      <c r="K1167" s="190"/>
      <c r="L1167" s="190"/>
      <c r="M1167" s="191"/>
      <c r="N1167" s="172"/>
      <c r="O1167" s="172"/>
      <c r="P1167" s="172"/>
      <c r="Q1167" s="172"/>
    </row>
    <row r="1168" spans="6:17" s="170" customFormat="1" x14ac:dyDescent="0.2">
      <c r="F1168" s="187"/>
      <c r="G1168" s="187"/>
      <c r="H1168" s="188"/>
      <c r="I1168" s="189"/>
      <c r="J1168" s="190"/>
      <c r="K1168" s="190"/>
      <c r="L1168" s="190"/>
      <c r="M1168" s="191"/>
      <c r="N1168" s="172"/>
      <c r="O1168" s="172"/>
      <c r="P1168" s="172"/>
      <c r="Q1168" s="172"/>
    </row>
    <row r="1169" spans="6:17" s="170" customFormat="1" x14ac:dyDescent="0.2">
      <c r="F1169" s="187"/>
      <c r="G1169" s="187"/>
      <c r="H1169" s="188"/>
      <c r="I1169" s="189"/>
      <c r="J1169" s="190"/>
      <c r="K1169" s="190"/>
      <c r="L1169" s="190"/>
      <c r="M1169" s="191"/>
      <c r="N1169" s="172"/>
      <c r="O1169" s="172"/>
      <c r="P1169" s="172"/>
      <c r="Q1169" s="172"/>
    </row>
    <row r="1170" spans="6:17" s="170" customFormat="1" x14ac:dyDescent="0.2">
      <c r="F1170" s="187"/>
      <c r="G1170" s="187"/>
      <c r="H1170" s="188"/>
      <c r="I1170" s="189"/>
      <c r="J1170" s="190"/>
      <c r="K1170" s="190"/>
      <c r="L1170" s="190"/>
      <c r="M1170" s="191"/>
      <c r="N1170" s="172"/>
      <c r="O1170" s="172"/>
      <c r="P1170" s="172"/>
      <c r="Q1170" s="172"/>
    </row>
    <row r="1171" spans="6:17" s="170" customFormat="1" x14ac:dyDescent="0.2">
      <c r="F1171" s="187"/>
      <c r="G1171" s="187"/>
      <c r="H1171" s="188"/>
      <c r="I1171" s="189"/>
      <c r="J1171" s="190"/>
      <c r="K1171" s="190"/>
      <c r="L1171" s="190"/>
      <c r="M1171" s="191"/>
      <c r="N1171" s="172"/>
      <c r="O1171" s="172"/>
      <c r="P1171" s="172"/>
      <c r="Q1171" s="172"/>
    </row>
    <row r="1172" spans="6:17" s="170" customFormat="1" x14ac:dyDescent="0.2">
      <c r="F1172" s="187"/>
      <c r="G1172" s="187"/>
      <c r="H1172" s="188"/>
      <c r="I1172" s="189"/>
      <c r="J1172" s="190"/>
      <c r="K1172" s="190"/>
      <c r="L1172" s="190"/>
      <c r="M1172" s="191"/>
      <c r="N1172" s="172"/>
      <c r="O1172" s="172"/>
      <c r="P1172" s="172"/>
      <c r="Q1172" s="172"/>
    </row>
    <row r="1173" spans="6:17" s="170" customFormat="1" x14ac:dyDescent="0.2">
      <c r="F1173" s="187"/>
      <c r="G1173" s="187"/>
      <c r="H1173" s="188"/>
      <c r="I1173" s="189"/>
      <c r="J1173" s="190"/>
      <c r="K1173" s="190"/>
      <c r="L1173" s="190"/>
      <c r="M1173" s="191"/>
      <c r="N1173" s="172"/>
      <c r="O1173" s="172"/>
      <c r="P1173" s="172"/>
      <c r="Q1173" s="172"/>
    </row>
    <row r="1174" spans="6:17" s="170" customFormat="1" x14ac:dyDescent="0.2">
      <c r="F1174" s="187"/>
      <c r="G1174" s="187"/>
      <c r="H1174" s="188"/>
      <c r="I1174" s="189"/>
      <c r="J1174" s="190"/>
      <c r="K1174" s="190"/>
      <c r="L1174" s="190"/>
      <c r="M1174" s="191"/>
      <c r="N1174" s="172"/>
      <c r="O1174" s="172"/>
      <c r="P1174" s="172"/>
      <c r="Q1174" s="172"/>
    </row>
    <row r="1175" spans="6:17" s="170" customFormat="1" x14ac:dyDescent="0.2">
      <c r="F1175" s="187"/>
      <c r="G1175" s="187"/>
      <c r="H1175" s="188"/>
      <c r="I1175" s="189"/>
      <c r="J1175" s="190"/>
      <c r="K1175" s="190"/>
      <c r="L1175" s="190"/>
      <c r="M1175" s="191"/>
      <c r="N1175" s="172"/>
      <c r="O1175" s="172"/>
      <c r="P1175" s="172"/>
      <c r="Q1175" s="172"/>
    </row>
    <row r="1176" spans="6:17" s="170" customFormat="1" x14ac:dyDescent="0.2">
      <c r="F1176" s="187"/>
      <c r="G1176" s="187"/>
      <c r="H1176" s="188"/>
      <c r="I1176" s="189"/>
      <c r="J1176" s="190"/>
      <c r="K1176" s="190"/>
      <c r="L1176" s="190"/>
      <c r="M1176" s="191"/>
      <c r="N1176" s="172"/>
      <c r="O1176" s="172"/>
      <c r="P1176" s="172"/>
      <c r="Q1176" s="172"/>
    </row>
    <row r="1177" spans="6:17" s="170" customFormat="1" x14ac:dyDescent="0.2">
      <c r="F1177" s="187"/>
      <c r="G1177" s="187"/>
      <c r="H1177" s="188"/>
      <c r="I1177" s="189"/>
      <c r="J1177" s="190"/>
      <c r="K1177" s="190"/>
      <c r="L1177" s="190"/>
      <c r="M1177" s="191"/>
      <c r="N1177" s="172"/>
      <c r="O1177" s="172"/>
      <c r="P1177" s="172"/>
      <c r="Q1177" s="172"/>
    </row>
    <row r="1178" spans="6:17" s="170" customFormat="1" x14ac:dyDescent="0.2">
      <c r="F1178" s="187"/>
      <c r="G1178" s="187"/>
      <c r="H1178" s="188"/>
      <c r="I1178" s="189"/>
      <c r="J1178" s="190"/>
      <c r="K1178" s="190"/>
      <c r="L1178" s="190"/>
      <c r="M1178" s="191"/>
      <c r="N1178" s="172"/>
      <c r="O1178" s="172"/>
      <c r="P1178" s="172"/>
      <c r="Q1178" s="172"/>
    </row>
    <row r="1179" spans="6:17" s="170" customFormat="1" x14ac:dyDescent="0.2">
      <c r="F1179" s="187"/>
      <c r="G1179" s="187"/>
      <c r="H1179" s="188"/>
      <c r="I1179" s="189"/>
      <c r="J1179" s="190"/>
      <c r="K1179" s="190"/>
      <c r="L1179" s="190"/>
      <c r="M1179" s="191"/>
      <c r="N1179" s="172"/>
      <c r="O1179" s="172"/>
      <c r="P1179" s="172"/>
      <c r="Q1179" s="172"/>
    </row>
    <row r="1180" spans="6:17" s="170" customFormat="1" x14ac:dyDescent="0.2">
      <c r="F1180" s="187"/>
      <c r="G1180" s="187"/>
      <c r="H1180" s="188"/>
      <c r="I1180" s="189"/>
      <c r="J1180" s="190"/>
      <c r="K1180" s="190"/>
      <c r="L1180" s="190"/>
      <c r="M1180" s="191"/>
      <c r="N1180" s="172"/>
      <c r="O1180" s="172"/>
      <c r="P1180" s="172"/>
      <c r="Q1180" s="172"/>
    </row>
    <row r="1181" spans="6:17" s="170" customFormat="1" x14ac:dyDescent="0.2">
      <c r="F1181" s="187"/>
      <c r="G1181" s="187"/>
      <c r="H1181" s="188"/>
      <c r="I1181" s="189"/>
      <c r="J1181" s="190"/>
      <c r="K1181" s="190"/>
      <c r="L1181" s="190"/>
      <c r="M1181" s="191"/>
      <c r="N1181" s="172"/>
      <c r="O1181" s="172"/>
      <c r="P1181" s="172"/>
      <c r="Q1181" s="172"/>
    </row>
    <row r="1182" spans="6:17" s="170" customFormat="1" x14ac:dyDescent="0.2">
      <c r="F1182" s="187"/>
      <c r="G1182" s="187"/>
      <c r="H1182" s="188"/>
      <c r="I1182" s="189"/>
      <c r="J1182" s="190"/>
      <c r="K1182" s="190"/>
      <c r="L1182" s="190"/>
      <c r="M1182" s="191"/>
      <c r="N1182" s="172"/>
      <c r="O1182" s="172"/>
      <c r="P1182" s="172"/>
      <c r="Q1182" s="172"/>
    </row>
    <row r="1183" spans="6:17" s="170" customFormat="1" x14ac:dyDescent="0.2">
      <c r="F1183" s="187"/>
      <c r="G1183" s="187"/>
      <c r="H1183" s="188"/>
      <c r="I1183" s="189"/>
      <c r="J1183" s="190"/>
      <c r="K1183" s="190"/>
      <c r="L1183" s="190"/>
      <c r="M1183" s="191"/>
      <c r="N1183" s="172"/>
      <c r="O1183" s="172"/>
      <c r="P1183" s="172"/>
      <c r="Q1183" s="172"/>
    </row>
    <row r="1184" spans="6:17" s="170" customFormat="1" x14ac:dyDescent="0.2">
      <c r="F1184" s="187"/>
      <c r="G1184" s="187"/>
      <c r="H1184" s="188"/>
      <c r="I1184" s="189"/>
      <c r="J1184" s="190"/>
      <c r="K1184" s="190"/>
      <c r="L1184" s="190"/>
      <c r="M1184" s="191"/>
      <c r="N1184" s="172"/>
      <c r="O1184" s="172"/>
      <c r="P1184" s="172"/>
      <c r="Q1184" s="172"/>
    </row>
    <row r="1185" spans="6:17" s="170" customFormat="1" x14ac:dyDescent="0.2">
      <c r="F1185" s="187"/>
      <c r="G1185" s="187"/>
      <c r="H1185" s="188"/>
      <c r="I1185" s="189"/>
      <c r="J1185" s="190"/>
      <c r="K1185" s="190"/>
      <c r="L1185" s="190"/>
      <c r="M1185" s="191"/>
      <c r="N1185" s="172"/>
      <c r="O1185" s="172"/>
      <c r="P1185" s="172"/>
      <c r="Q1185" s="172"/>
    </row>
    <row r="1186" spans="6:17" s="170" customFormat="1" x14ac:dyDescent="0.2">
      <c r="F1186" s="187"/>
      <c r="G1186" s="187"/>
      <c r="H1186" s="188"/>
      <c r="I1186" s="189"/>
      <c r="J1186" s="190"/>
      <c r="K1186" s="190"/>
      <c r="L1186" s="190"/>
      <c r="M1186" s="191"/>
      <c r="N1186" s="172"/>
      <c r="O1186" s="172"/>
      <c r="P1186" s="172"/>
      <c r="Q1186" s="172"/>
    </row>
    <row r="1187" spans="6:17" s="170" customFormat="1" x14ac:dyDescent="0.2">
      <c r="F1187" s="187"/>
      <c r="G1187" s="187"/>
      <c r="H1187" s="188"/>
      <c r="I1187" s="189"/>
      <c r="J1187" s="190"/>
      <c r="K1187" s="190"/>
      <c r="L1187" s="190"/>
      <c r="M1187" s="191"/>
      <c r="N1187" s="172"/>
      <c r="O1187" s="172"/>
      <c r="P1187" s="172"/>
      <c r="Q1187" s="172"/>
    </row>
    <row r="1188" spans="6:17" s="170" customFormat="1" x14ac:dyDescent="0.2">
      <c r="F1188" s="187"/>
      <c r="G1188" s="187"/>
      <c r="H1188" s="188"/>
      <c r="I1188" s="189"/>
      <c r="J1188" s="190"/>
      <c r="K1188" s="190"/>
      <c r="L1188" s="190"/>
      <c r="M1188" s="191"/>
      <c r="N1188" s="172"/>
      <c r="O1188" s="172"/>
      <c r="P1188" s="172"/>
      <c r="Q1188" s="172"/>
    </row>
    <row r="1189" spans="6:17" s="170" customFormat="1" x14ac:dyDescent="0.2">
      <c r="F1189" s="187"/>
      <c r="G1189" s="187"/>
      <c r="H1189" s="188"/>
      <c r="I1189" s="189"/>
      <c r="J1189" s="190"/>
      <c r="K1189" s="190"/>
      <c r="L1189" s="190"/>
      <c r="M1189" s="191"/>
      <c r="N1189" s="172"/>
      <c r="O1189" s="172"/>
      <c r="P1189" s="172"/>
      <c r="Q1189" s="172"/>
    </row>
    <row r="1190" spans="6:17" s="170" customFormat="1" x14ac:dyDescent="0.2">
      <c r="F1190" s="187"/>
      <c r="G1190" s="187"/>
      <c r="H1190" s="188"/>
      <c r="I1190" s="189"/>
      <c r="J1190" s="190"/>
      <c r="K1190" s="190"/>
      <c r="L1190" s="190"/>
      <c r="M1190" s="191"/>
      <c r="N1190" s="172"/>
      <c r="O1190" s="172"/>
      <c r="P1190" s="172"/>
      <c r="Q1190" s="172"/>
    </row>
    <row r="1191" spans="6:17" s="170" customFormat="1" x14ac:dyDescent="0.2">
      <c r="F1191" s="187"/>
      <c r="G1191" s="187"/>
      <c r="H1191" s="188"/>
      <c r="I1191" s="189"/>
      <c r="J1191" s="190"/>
      <c r="K1191" s="190"/>
      <c r="L1191" s="190"/>
      <c r="M1191" s="191"/>
      <c r="N1191" s="172"/>
      <c r="O1191" s="172"/>
      <c r="P1191" s="172"/>
      <c r="Q1191" s="172"/>
    </row>
    <row r="1192" spans="6:17" s="170" customFormat="1" x14ac:dyDescent="0.2">
      <c r="F1192" s="187"/>
      <c r="G1192" s="187"/>
      <c r="H1192" s="188"/>
      <c r="I1192" s="189"/>
      <c r="J1192" s="190"/>
      <c r="K1192" s="190"/>
      <c r="L1192" s="190"/>
      <c r="M1192" s="191"/>
      <c r="N1192" s="172"/>
      <c r="O1192" s="172"/>
      <c r="P1192" s="172"/>
      <c r="Q1192" s="172"/>
    </row>
    <row r="1193" spans="6:17" s="170" customFormat="1" x14ac:dyDescent="0.2">
      <c r="F1193" s="187"/>
      <c r="G1193" s="187"/>
      <c r="H1193" s="188"/>
      <c r="I1193" s="189"/>
      <c r="J1193" s="190"/>
      <c r="K1193" s="190"/>
      <c r="L1193" s="190"/>
      <c r="M1193" s="191"/>
      <c r="N1193" s="172"/>
      <c r="O1193" s="172"/>
      <c r="P1193" s="172"/>
      <c r="Q1193" s="172"/>
    </row>
    <row r="1194" spans="6:17" s="170" customFormat="1" x14ac:dyDescent="0.2">
      <c r="F1194" s="187"/>
      <c r="G1194" s="187"/>
      <c r="H1194" s="188"/>
      <c r="I1194" s="189"/>
      <c r="J1194" s="190"/>
      <c r="K1194" s="190"/>
      <c r="L1194" s="190"/>
      <c r="M1194" s="191"/>
      <c r="N1194" s="172"/>
      <c r="O1194" s="172"/>
      <c r="P1194" s="172"/>
      <c r="Q1194" s="172"/>
    </row>
    <row r="1195" spans="6:17" s="170" customFormat="1" x14ac:dyDescent="0.2">
      <c r="F1195" s="187"/>
      <c r="G1195" s="187"/>
      <c r="H1195" s="188"/>
      <c r="I1195" s="189"/>
      <c r="J1195" s="190"/>
      <c r="K1195" s="190"/>
      <c r="L1195" s="190"/>
      <c r="M1195" s="191"/>
      <c r="N1195" s="172"/>
      <c r="O1195" s="172"/>
      <c r="P1195" s="172"/>
      <c r="Q1195" s="172"/>
    </row>
    <row r="1196" spans="6:17" s="170" customFormat="1" x14ac:dyDescent="0.2">
      <c r="F1196" s="187"/>
      <c r="G1196" s="187"/>
      <c r="H1196" s="188"/>
      <c r="I1196" s="189"/>
      <c r="J1196" s="190"/>
      <c r="K1196" s="190"/>
      <c r="L1196" s="190"/>
      <c r="M1196" s="191"/>
      <c r="N1196" s="172"/>
      <c r="O1196" s="172"/>
      <c r="P1196" s="172"/>
      <c r="Q1196" s="172"/>
    </row>
    <row r="1197" spans="6:17" s="170" customFormat="1" x14ac:dyDescent="0.2">
      <c r="F1197" s="187"/>
      <c r="G1197" s="187"/>
      <c r="H1197" s="188"/>
      <c r="I1197" s="189"/>
      <c r="J1197" s="190"/>
      <c r="K1197" s="190"/>
      <c r="L1197" s="190"/>
      <c r="M1197" s="191"/>
      <c r="N1197" s="172"/>
      <c r="O1197" s="172"/>
      <c r="P1197" s="172"/>
      <c r="Q1197" s="172"/>
    </row>
    <row r="1198" spans="6:17" s="170" customFormat="1" x14ac:dyDescent="0.2">
      <c r="F1198" s="187"/>
      <c r="G1198" s="187"/>
      <c r="H1198" s="188"/>
      <c r="I1198" s="189"/>
      <c r="J1198" s="190"/>
      <c r="K1198" s="190"/>
      <c r="L1198" s="190"/>
      <c r="M1198" s="191"/>
      <c r="N1198" s="172"/>
      <c r="O1198" s="172"/>
      <c r="P1198" s="172"/>
      <c r="Q1198" s="172"/>
    </row>
    <row r="1199" spans="6:17" s="170" customFormat="1" x14ac:dyDescent="0.2">
      <c r="F1199" s="187"/>
      <c r="G1199" s="187"/>
      <c r="H1199" s="188"/>
      <c r="I1199" s="189"/>
      <c r="J1199" s="190"/>
      <c r="K1199" s="190"/>
      <c r="L1199" s="190"/>
      <c r="M1199" s="191"/>
      <c r="N1199" s="172"/>
      <c r="O1199" s="172"/>
      <c r="P1199" s="172"/>
      <c r="Q1199" s="172"/>
    </row>
    <row r="1200" spans="6:17" s="170" customFormat="1" x14ac:dyDescent="0.2">
      <c r="F1200" s="187"/>
      <c r="G1200" s="187"/>
      <c r="H1200" s="188"/>
      <c r="I1200" s="189"/>
      <c r="J1200" s="190"/>
      <c r="K1200" s="190"/>
      <c r="L1200" s="190"/>
      <c r="M1200" s="191"/>
      <c r="N1200" s="172"/>
      <c r="O1200" s="172"/>
      <c r="P1200" s="172"/>
      <c r="Q1200" s="172"/>
    </row>
    <row r="1201" spans="6:17" s="170" customFormat="1" x14ac:dyDescent="0.2">
      <c r="F1201" s="187"/>
      <c r="G1201" s="187"/>
      <c r="H1201" s="188"/>
      <c r="I1201" s="189"/>
      <c r="J1201" s="190"/>
      <c r="K1201" s="190"/>
      <c r="L1201" s="190"/>
      <c r="M1201" s="191"/>
      <c r="N1201" s="172"/>
      <c r="O1201" s="172"/>
      <c r="P1201" s="172"/>
      <c r="Q1201" s="172"/>
    </row>
    <row r="1202" spans="6:17" s="170" customFormat="1" x14ac:dyDescent="0.2">
      <c r="F1202" s="187"/>
      <c r="G1202" s="187"/>
      <c r="H1202" s="188"/>
      <c r="I1202" s="189"/>
      <c r="J1202" s="190"/>
      <c r="K1202" s="190"/>
      <c r="L1202" s="190"/>
      <c r="M1202" s="191"/>
      <c r="N1202" s="172"/>
      <c r="O1202" s="172"/>
      <c r="P1202" s="172"/>
      <c r="Q1202" s="172"/>
    </row>
    <row r="1203" spans="6:17" s="170" customFormat="1" x14ac:dyDescent="0.2">
      <c r="F1203" s="187"/>
      <c r="G1203" s="187"/>
      <c r="H1203" s="188"/>
      <c r="I1203" s="189"/>
      <c r="J1203" s="190"/>
      <c r="K1203" s="190"/>
      <c r="L1203" s="190"/>
      <c r="M1203" s="191"/>
      <c r="N1203" s="172"/>
      <c r="O1203" s="172"/>
      <c r="P1203" s="172"/>
      <c r="Q1203" s="172"/>
    </row>
    <row r="1204" spans="6:17" s="170" customFormat="1" x14ac:dyDescent="0.2">
      <c r="F1204" s="187"/>
      <c r="G1204" s="187"/>
      <c r="H1204" s="188"/>
      <c r="I1204" s="189"/>
      <c r="J1204" s="190"/>
      <c r="K1204" s="190"/>
      <c r="L1204" s="190"/>
      <c r="M1204" s="191"/>
      <c r="N1204" s="172"/>
      <c r="O1204" s="172"/>
      <c r="P1204" s="172"/>
      <c r="Q1204" s="172"/>
    </row>
    <row r="1205" spans="6:17" s="170" customFormat="1" x14ac:dyDescent="0.2">
      <c r="F1205" s="187"/>
      <c r="G1205" s="187"/>
      <c r="H1205" s="188"/>
      <c r="I1205" s="189"/>
      <c r="J1205" s="190"/>
      <c r="K1205" s="190"/>
      <c r="L1205" s="190"/>
      <c r="M1205" s="191"/>
      <c r="N1205" s="172"/>
      <c r="O1205" s="172"/>
      <c r="P1205" s="172"/>
      <c r="Q1205" s="172"/>
    </row>
    <row r="1206" spans="6:17" s="170" customFormat="1" x14ac:dyDescent="0.2">
      <c r="F1206" s="187"/>
      <c r="G1206" s="187"/>
      <c r="H1206" s="188"/>
      <c r="I1206" s="189"/>
      <c r="J1206" s="190"/>
      <c r="K1206" s="190"/>
      <c r="L1206" s="190"/>
      <c r="M1206" s="191"/>
      <c r="N1206" s="172"/>
      <c r="O1206" s="172"/>
      <c r="P1206" s="172"/>
      <c r="Q1206" s="172"/>
    </row>
    <row r="1207" spans="6:17" s="170" customFormat="1" x14ac:dyDescent="0.2">
      <c r="F1207" s="187"/>
      <c r="G1207" s="187"/>
      <c r="H1207" s="188"/>
      <c r="I1207" s="189"/>
      <c r="J1207" s="190"/>
      <c r="K1207" s="190"/>
      <c r="L1207" s="190"/>
      <c r="M1207" s="191"/>
      <c r="N1207" s="172"/>
      <c r="O1207" s="172"/>
      <c r="P1207" s="172"/>
      <c r="Q1207" s="172"/>
    </row>
    <row r="1208" spans="6:17" s="170" customFormat="1" x14ac:dyDescent="0.2">
      <c r="F1208" s="187"/>
      <c r="G1208" s="187"/>
      <c r="H1208" s="188"/>
      <c r="I1208" s="189"/>
      <c r="J1208" s="190"/>
      <c r="K1208" s="190"/>
      <c r="L1208" s="190"/>
      <c r="M1208" s="191"/>
      <c r="N1208" s="172"/>
      <c r="O1208" s="172"/>
      <c r="P1208" s="172"/>
      <c r="Q1208" s="172"/>
    </row>
    <row r="1209" spans="6:17" s="170" customFormat="1" x14ac:dyDescent="0.2">
      <c r="F1209" s="187"/>
      <c r="G1209" s="187"/>
      <c r="H1209" s="188"/>
      <c r="I1209" s="189"/>
      <c r="J1209" s="190"/>
      <c r="K1209" s="190"/>
      <c r="L1209" s="190"/>
      <c r="M1209" s="191"/>
      <c r="N1209" s="172"/>
      <c r="O1209" s="172"/>
      <c r="P1209" s="172"/>
      <c r="Q1209" s="172"/>
    </row>
    <row r="1210" spans="6:17" s="170" customFormat="1" x14ac:dyDescent="0.2">
      <c r="F1210" s="187"/>
      <c r="G1210" s="187"/>
      <c r="H1210" s="188"/>
      <c r="I1210" s="189"/>
      <c r="J1210" s="190"/>
      <c r="K1210" s="190"/>
      <c r="L1210" s="190"/>
      <c r="M1210" s="191"/>
      <c r="N1210" s="172"/>
      <c r="O1210" s="172"/>
      <c r="P1210" s="172"/>
      <c r="Q1210" s="172"/>
    </row>
    <row r="1211" spans="6:17" s="170" customFormat="1" x14ac:dyDescent="0.2">
      <c r="F1211" s="187"/>
      <c r="G1211" s="187"/>
      <c r="H1211" s="188"/>
      <c r="I1211" s="189"/>
      <c r="J1211" s="190"/>
      <c r="K1211" s="190"/>
      <c r="L1211" s="190"/>
      <c r="M1211" s="191"/>
      <c r="N1211" s="172"/>
      <c r="O1211" s="172"/>
      <c r="P1211" s="172"/>
      <c r="Q1211" s="172"/>
    </row>
    <row r="1212" spans="6:17" s="170" customFormat="1" x14ac:dyDescent="0.2">
      <c r="F1212" s="187"/>
      <c r="G1212" s="187"/>
      <c r="H1212" s="188"/>
      <c r="I1212" s="189"/>
      <c r="J1212" s="190"/>
      <c r="K1212" s="190"/>
      <c r="L1212" s="190"/>
      <c r="M1212" s="191"/>
      <c r="N1212" s="172"/>
      <c r="O1212" s="172"/>
      <c r="P1212" s="172"/>
      <c r="Q1212" s="172"/>
    </row>
    <row r="1213" spans="6:17" s="170" customFormat="1" x14ac:dyDescent="0.2">
      <c r="F1213" s="187"/>
      <c r="G1213" s="187"/>
      <c r="H1213" s="188"/>
      <c r="I1213" s="189"/>
      <c r="J1213" s="190"/>
      <c r="K1213" s="190"/>
      <c r="L1213" s="190"/>
      <c r="M1213" s="191"/>
      <c r="N1213" s="172"/>
      <c r="O1213" s="172"/>
      <c r="P1213" s="172"/>
      <c r="Q1213" s="172"/>
    </row>
    <row r="1214" spans="6:17" s="170" customFormat="1" x14ac:dyDescent="0.2">
      <c r="F1214" s="187"/>
      <c r="G1214" s="187"/>
      <c r="H1214" s="188"/>
      <c r="I1214" s="189"/>
      <c r="J1214" s="190"/>
      <c r="K1214" s="190"/>
      <c r="L1214" s="190"/>
      <c r="M1214" s="191"/>
      <c r="N1214" s="172"/>
      <c r="O1214" s="172"/>
      <c r="P1214" s="172"/>
      <c r="Q1214" s="172"/>
    </row>
    <row r="1215" spans="6:17" s="170" customFormat="1" x14ac:dyDescent="0.2">
      <c r="F1215" s="187"/>
      <c r="G1215" s="187"/>
      <c r="H1215" s="188"/>
      <c r="I1215" s="189"/>
      <c r="J1215" s="190"/>
      <c r="K1215" s="190"/>
      <c r="L1215" s="190"/>
      <c r="M1215" s="191"/>
      <c r="N1215" s="172"/>
      <c r="O1215" s="172"/>
      <c r="P1215" s="172"/>
      <c r="Q1215" s="172"/>
    </row>
    <row r="1216" spans="6:17" s="170" customFormat="1" x14ac:dyDescent="0.2">
      <c r="F1216" s="187"/>
      <c r="G1216" s="187"/>
      <c r="H1216" s="188"/>
      <c r="I1216" s="189"/>
      <c r="J1216" s="190"/>
      <c r="K1216" s="190"/>
      <c r="L1216" s="190"/>
      <c r="M1216" s="191"/>
      <c r="N1216" s="172"/>
      <c r="O1216" s="172"/>
      <c r="P1216" s="172"/>
      <c r="Q1216" s="172"/>
    </row>
    <row r="1217" spans="6:17" s="170" customFormat="1" x14ac:dyDescent="0.2">
      <c r="F1217" s="187"/>
      <c r="G1217" s="187"/>
      <c r="H1217" s="188"/>
      <c r="I1217" s="189"/>
      <c r="J1217" s="190"/>
      <c r="K1217" s="190"/>
      <c r="L1217" s="190"/>
      <c r="M1217" s="191"/>
      <c r="N1217" s="172"/>
      <c r="O1217" s="172"/>
      <c r="P1217" s="172"/>
      <c r="Q1217" s="172"/>
    </row>
    <row r="1218" spans="6:17" s="170" customFormat="1" x14ac:dyDescent="0.2">
      <c r="F1218" s="187"/>
      <c r="G1218" s="187"/>
      <c r="H1218" s="188"/>
      <c r="I1218" s="189"/>
      <c r="J1218" s="190"/>
      <c r="K1218" s="190"/>
      <c r="L1218" s="190"/>
      <c r="M1218" s="191"/>
      <c r="N1218" s="172"/>
      <c r="O1218" s="172"/>
      <c r="P1218" s="172"/>
      <c r="Q1218" s="172"/>
    </row>
    <row r="1219" spans="6:17" s="170" customFormat="1" x14ac:dyDescent="0.2">
      <c r="F1219" s="187"/>
      <c r="G1219" s="187"/>
      <c r="H1219" s="188"/>
      <c r="I1219" s="189"/>
      <c r="J1219" s="190"/>
      <c r="K1219" s="190"/>
      <c r="L1219" s="190"/>
      <c r="M1219" s="191"/>
      <c r="N1219" s="172"/>
      <c r="O1219" s="172"/>
      <c r="P1219" s="172"/>
      <c r="Q1219" s="172"/>
    </row>
    <row r="1220" spans="6:17" s="170" customFormat="1" x14ac:dyDescent="0.2">
      <c r="F1220" s="187"/>
      <c r="G1220" s="187"/>
      <c r="H1220" s="188"/>
      <c r="I1220" s="189"/>
      <c r="J1220" s="190"/>
      <c r="K1220" s="190"/>
      <c r="L1220" s="190"/>
      <c r="M1220" s="191"/>
      <c r="N1220" s="172"/>
      <c r="O1220" s="172"/>
      <c r="P1220" s="172"/>
      <c r="Q1220" s="172"/>
    </row>
    <row r="1221" spans="6:17" s="170" customFormat="1" x14ac:dyDescent="0.2">
      <c r="F1221" s="187"/>
      <c r="G1221" s="187"/>
      <c r="H1221" s="188"/>
      <c r="I1221" s="189"/>
      <c r="J1221" s="190"/>
      <c r="K1221" s="190"/>
      <c r="L1221" s="190"/>
      <c r="M1221" s="191"/>
      <c r="N1221" s="172"/>
      <c r="O1221" s="172"/>
      <c r="P1221" s="172"/>
      <c r="Q1221" s="172"/>
    </row>
    <row r="1222" spans="6:17" s="170" customFormat="1" x14ac:dyDescent="0.2">
      <c r="F1222" s="187"/>
      <c r="G1222" s="187"/>
      <c r="H1222" s="188"/>
      <c r="I1222" s="189"/>
      <c r="J1222" s="190"/>
      <c r="K1222" s="190"/>
      <c r="L1222" s="190"/>
      <c r="M1222" s="191"/>
      <c r="N1222" s="172"/>
      <c r="O1222" s="172"/>
      <c r="P1222" s="172"/>
      <c r="Q1222" s="172"/>
    </row>
    <row r="1223" spans="6:17" s="170" customFormat="1" x14ac:dyDescent="0.2">
      <c r="F1223" s="187"/>
      <c r="G1223" s="187"/>
      <c r="H1223" s="188"/>
      <c r="I1223" s="189"/>
      <c r="J1223" s="190"/>
      <c r="K1223" s="190"/>
      <c r="L1223" s="190"/>
      <c r="M1223" s="191"/>
      <c r="N1223" s="172"/>
      <c r="O1223" s="172"/>
      <c r="P1223" s="172"/>
      <c r="Q1223" s="172"/>
    </row>
    <row r="1224" spans="6:17" s="170" customFormat="1" x14ac:dyDescent="0.2">
      <c r="F1224" s="187"/>
      <c r="G1224" s="187"/>
      <c r="H1224" s="188"/>
      <c r="I1224" s="189"/>
      <c r="J1224" s="190"/>
      <c r="K1224" s="190"/>
      <c r="L1224" s="190"/>
      <c r="M1224" s="191"/>
      <c r="N1224" s="172"/>
      <c r="O1224" s="172"/>
      <c r="P1224" s="172"/>
      <c r="Q1224" s="172"/>
    </row>
    <row r="1225" spans="6:17" s="170" customFormat="1" x14ac:dyDescent="0.2">
      <c r="F1225" s="187"/>
      <c r="G1225" s="187"/>
      <c r="H1225" s="188"/>
      <c r="I1225" s="189"/>
      <c r="J1225" s="190"/>
      <c r="K1225" s="190"/>
      <c r="L1225" s="190"/>
      <c r="M1225" s="191"/>
      <c r="N1225" s="172"/>
      <c r="O1225" s="172"/>
      <c r="P1225" s="172"/>
      <c r="Q1225" s="172"/>
    </row>
    <row r="1226" spans="6:17" s="170" customFormat="1" x14ac:dyDescent="0.2">
      <c r="F1226" s="187"/>
      <c r="G1226" s="187"/>
      <c r="H1226" s="188"/>
      <c r="I1226" s="189"/>
      <c r="J1226" s="190"/>
      <c r="K1226" s="190"/>
      <c r="L1226" s="190"/>
      <c r="M1226" s="191"/>
      <c r="N1226" s="172"/>
      <c r="O1226" s="172"/>
      <c r="P1226" s="172"/>
      <c r="Q1226" s="172"/>
    </row>
    <row r="1227" spans="6:17" s="170" customFormat="1" x14ac:dyDescent="0.2">
      <c r="F1227" s="187"/>
      <c r="G1227" s="187"/>
      <c r="H1227" s="188"/>
      <c r="I1227" s="189"/>
      <c r="J1227" s="190"/>
      <c r="K1227" s="190"/>
      <c r="L1227" s="190"/>
      <c r="M1227" s="191"/>
      <c r="N1227" s="172"/>
      <c r="O1227" s="172"/>
      <c r="P1227" s="172"/>
      <c r="Q1227" s="172"/>
    </row>
    <row r="1228" spans="6:17" s="170" customFormat="1" x14ac:dyDescent="0.2">
      <c r="F1228" s="187"/>
      <c r="G1228" s="187"/>
      <c r="H1228" s="188"/>
      <c r="I1228" s="189"/>
      <c r="J1228" s="190"/>
      <c r="K1228" s="190"/>
      <c r="L1228" s="190"/>
      <c r="M1228" s="191"/>
      <c r="N1228" s="172"/>
      <c r="O1228" s="172"/>
      <c r="P1228" s="172"/>
      <c r="Q1228" s="172"/>
    </row>
    <row r="1229" spans="6:17" s="170" customFormat="1" x14ac:dyDescent="0.2">
      <c r="F1229" s="187"/>
      <c r="G1229" s="187"/>
      <c r="H1229" s="188"/>
      <c r="I1229" s="189"/>
      <c r="J1229" s="190"/>
      <c r="K1229" s="190"/>
      <c r="L1229" s="190"/>
      <c r="M1229" s="191"/>
      <c r="N1229" s="172"/>
      <c r="O1229" s="172"/>
      <c r="P1229" s="172"/>
      <c r="Q1229" s="172"/>
    </row>
    <row r="1230" spans="6:17" s="170" customFormat="1" x14ac:dyDescent="0.2">
      <c r="F1230" s="187"/>
      <c r="G1230" s="187"/>
      <c r="H1230" s="188"/>
      <c r="I1230" s="189"/>
      <c r="J1230" s="190"/>
      <c r="K1230" s="190"/>
      <c r="L1230" s="190"/>
      <c r="M1230" s="191"/>
      <c r="N1230" s="172"/>
      <c r="O1230" s="172"/>
      <c r="P1230" s="172"/>
      <c r="Q1230" s="172"/>
    </row>
    <row r="1231" spans="6:17" s="170" customFormat="1" x14ac:dyDescent="0.2">
      <c r="F1231" s="187"/>
      <c r="G1231" s="187"/>
      <c r="H1231" s="188"/>
      <c r="I1231" s="189"/>
      <c r="J1231" s="190"/>
      <c r="K1231" s="190"/>
      <c r="L1231" s="190"/>
      <c r="M1231" s="191"/>
      <c r="N1231" s="172"/>
      <c r="O1231" s="172"/>
      <c r="P1231" s="172"/>
      <c r="Q1231" s="172"/>
    </row>
    <row r="1232" spans="6:17" s="170" customFormat="1" x14ac:dyDescent="0.2">
      <c r="F1232" s="187"/>
      <c r="G1232" s="187"/>
      <c r="H1232" s="188"/>
      <c r="I1232" s="189"/>
      <c r="J1232" s="190"/>
      <c r="K1232" s="190"/>
      <c r="L1232" s="190"/>
      <c r="M1232" s="191"/>
      <c r="N1232" s="172"/>
      <c r="O1232" s="172"/>
      <c r="P1232" s="172"/>
      <c r="Q1232" s="172"/>
    </row>
    <row r="1233" spans="6:17" s="170" customFormat="1" x14ac:dyDescent="0.2">
      <c r="F1233" s="187"/>
      <c r="G1233" s="187"/>
      <c r="H1233" s="188"/>
      <c r="I1233" s="189"/>
      <c r="J1233" s="190"/>
      <c r="K1233" s="190"/>
      <c r="L1233" s="190"/>
      <c r="M1233" s="191"/>
      <c r="N1233" s="172"/>
      <c r="O1233" s="172"/>
      <c r="P1233" s="172"/>
      <c r="Q1233" s="172"/>
    </row>
    <row r="1234" spans="6:17" s="170" customFormat="1" x14ac:dyDescent="0.2">
      <c r="F1234" s="187"/>
      <c r="G1234" s="187"/>
      <c r="H1234" s="188"/>
      <c r="I1234" s="189"/>
      <c r="J1234" s="190"/>
      <c r="K1234" s="190"/>
      <c r="L1234" s="190"/>
      <c r="M1234" s="191"/>
      <c r="N1234" s="172"/>
      <c r="O1234" s="172"/>
      <c r="P1234" s="172"/>
      <c r="Q1234" s="172"/>
    </row>
    <row r="1235" spans="6:17" s="170" customFormat="1" x14ac:dyDescent="0.2">
      <c r="F1235" s="187"/>
      <c r="G1235" s="187"/>
      <c r="H1235" s="188"/>
      <c r="I1235" s="189"/>
      <c r="J1235" s="190"/>
      <c r="K1235" s="190"/>
      <c r="L1235" s="190"/>
      <c r="M1235" s="191"/>
      <c r="N1235" s="172"/>
      <c r="O1235" s="172"/>
      <c r="P1235" s="172"/>
      <c r="Q1235" s="172"/>
    </row>
    <row r="1236" spans="6:17" s="170" customFormat="1" x14ac:dyDescent="0.2">
      <c r="F1236" s="187"/>
      <c r="G1236" s="187"/>
      <c r="H1236" s="188"/>
      <c r="I1236" s="189"/>
      <c r="J1236" s="190"/>
      <c r="K1236" s="190"/>
      <c r="L1236" s="190"/>
      <c r="M1236" s="191"/>
      <c r="N1236" s="172"/>
      <c r="O1236" s="172"/>
      <c r="P1236" s="172"/>
      <c r="Q1236" s="172"/>
    </row>
    <row r="1237" spans="6:17" s="170" customFormat="1" x14ac:dyDescent="0.2">
      <c r="F1237" s="187"/>
      <c r="G1237" s="187"/>
      <c r="H1237" s="188"/>
      <c r="I1237" s="189"/>
      <c r="J1237" s="190"/>
      <c r="K1237" s="190"/>
      <c r="L1237" s="190"/>
      <c r="M1237" s="191"/>
      <c r="N1237" s="172"/>
      <c r="O1237" s="172"/>
      <c r="P1237" s="172"/>
      <c r="Q1237" s="172"/>
    </row>
    <row r="1238" spans="6:17" s="170" customFormat="1" x14ac:dyDescent="0.2">
      <c r="F1238" s="187"/>
      <c r="G1238" s="187"/>
      <c r="H1238" s="188"/>
      <c r="I1238" s="189"/>
      <c r="J1238" s="190"/>
      <c r="K1238" s="190"/>
      <c r="L1238" s="190"/>
      <c r="M1238" s="191"/>
      <c r="N1238" s="172"/>
      <c r="O1238" s="172"/>
      <c r="P1238" s="172"/>
      <c r="Q1238" s="172"/>
    </row>
    <row r="1239" spans="6:17" s="170" customFormat="1" x14ac:dyDescent="0.2">
      <c r="F1239" s="187"/>
      <c r="G1239" s="187"/>
      <c r="H1239" s="188"/>
      <c r="I1239" s="189"/>
      <c r="J1239" s="190"/>
      <c r="K1239" s="190"/>
      <c r="L1239" s="190"/>
      <c r="M1239" s="191"/>
      <c r="N1239" s="172"/>
      <c r="O1239" s="172"/>
      <c r="P1239" s="172"/>
      <c r="Q1239" s="172"/>
    </row>
    <row r="1240" spans="6:17" s="170" customFormat="1" x14ac:dyDescent="0.2">
      <c r="F1240" s="187"/>
      <c r="G1240" s="187"/>
      <c r="H1240" s="188"/>
      <c r="I1240" s="189"/>
      <c r="J1240" s="190"/>
      <c r="K1240" s="190"/>
      <c r="L1240" s="190"/>
      <c r="M1240" s="191"/>
      <c r="N1240" s="172"/>
      <c r="O1240" s="172"/>
      <c r="P1240" s="172"/>
      <c r="Q1240" s="172"/>
    </row>
    <row r="1241" spans="6:17" s="170" customFormat="1" x14ac:dyDescent="0.2">
      <c r="F1241" s="187"/>
      <c r="G1241" s="187"/>
      <c r="H1241" s="188"/>
      <c r="I1241" s="189"/>
      <c r="J1241" s="190"/>
      <c r="K1241" s="190"/>
      <c r="L1241" s="190"/>
      <c r="M1241" s="191"/>
      <c r="N1241" s="172"/>
      <c r="O1241" s="172"/>
      <c r="P1241" s="172"/>
      <c r="Q1241" s="172"/>
    </row>
    <row r="1242" spans="6:17" s="170" customFormat="1" x14ac:dyDescent="0.2">
      <c r="F1242" s="187"/>
      <c r="G1242" s="187"/>
      <c r="H1242" s="188"/>
      <c r="I1242" s="189"/>
      <c r="J1242" s="190"/>
      <c r="K1242" s="190"/>
      <c r="L1242" s="190"/>
      <c r="M1242" s="191"/>
      <c r="N1242" s="172"/>
      <c r="O1242" s="172"/>
      <c r="P1242" s="172"/>
      <c r="Q1242" s="172"/>
    </row>
    <row r="1243" spans="6:17" s="170" customFormat="1" x14ac:dyDescent="0.2">
      <c r="F1243" s="187"/>
      <c r="G1243" s="187"/>
      <c r="H1243" s="188"/>
      <c r="I1243" s="189"/>
      <c r="J1243" s="190"/>
      <c r="K1243" s="190"/>
      <c r="L1243" s="190"/>
      <c r="M1243" s="191"/>
      <c r="N1243" s="172"/>
      <c r="O1243" s="172"/>
      <c r="P1243" s="172"/>
      <c r="Q1243" s="172"/>
    </row>
    <row r="1244" spans="6:17" s="170" customFormat="1" x14ac:dyDescent="0.2">
      <c r="F1244" s="187"/>
      <c r="G1244" s="187"/>
      <c r="H1244" s="188"/>
      <c r="I1244" s="189"/>
      <c r="J1244" s="190"/>
      <c r="K1244" s="190"/>
      <c r="L1244" s="190"/>
      <c r="M1244" s="191"/>
      <c r="N1244" s="172"/>
      <c r="O1244" s="172"/>
      <c r="P1244" s="172"/>
      <c r="Q1244" s="172"/>
    </row>
    <row r="1245" spans="6:17" s="170" customFormat="1" x14ac:dyDescent="0.2">
      <c r="F1245" s="187"/>
      <c r="G1245" s="187"/>
      <c r="H1245" s="188"/>
      <c r="I1245" s="189"/>
      <c r="J1245" s="190"/>
      <c r="K1245" s="190"/>
      <c r="L1245" s="190"/>
      <c r="M1245" s="191"/>
      <c r="N1245" s="172"/>
      <c r="O1245" s="172"/>
      <c r="P1245" s="172"/>
      <c r="Q1245" s="172"/>
    </row>
    <row r="1246" spans="6:17" s="170" customFormat="1" x14ac:dyDescent="0.2">
      <c r="F1246" s="187"/>
      <c r="G1246" s="187"/>
      <c r="H1246" s="188"/>
      <c r="I1246" s="189"/>
      <c r="J1246" s="190"/>
      <c r="K1246" s="190"/>
      <c r="L1246" s="190"/>
      <c r="M1246" s="191"/>
      <c r="N1246" s="172"/>
      <c r="O1246" s="172"/>
      <c r="P1246" s="172"/>
      <c r="Q1246" s="172"/>
    </row>
    <row r="1247" spans="6:17" s="170" customFormat="1" x14ac:dyDescent="0.2">
      <c r="F1247" s="187"/>
      <c r="G1247" s="187"/>
      <c r="H1247" s="188"/>
      <c r="I1247" s="189"/>
      <c r="J1247" s="190"/>
      <c r="K1247" s="190"/>
      <c r="L1247" s="190"/>
      <c r="M1247" s="191"/>
      <c r="N1247" s="172"/>
      <c r="O1247" s="172"/>
      <c r="P1247" s="172"/>
      <c r="Q1247" s="172"/>
    </row>
    <row r="1248" spans="6:17" s="170" customFormat="1" x14ac:dyDescent="0.2">
      <c r="F1248" s="187"/>
      <c r="G1248" s="187"/>
      <c r="H1248" s="188"/>
      <c r="I1248" s="189"/>
      <c r="J1248" s="190"/>
      <c r="K1248" s="190"/>
      <c r="L1248" s="190"/>
      <c r="M1248" s="191"/>
      <c r="N1248" s="172"/>
      <c r="O1248" s="172"/>
      <c r="P1248" s="172"/>
      <c r="Q1248" s="172"/>
    </row>
    <row r="1249" spans="6:17" s="170" customFormat="1" x14ac:dyDescent="0.2">
      <c r="F1249" s="187"/>
      <c r="G1249" s="187"/>
      <c r="H1249" s="188"/>
      <c r="I1249" s="189"/>
      <c r="J1249" s="190"/>
      <c r="K1249" s="190"/>
      <c r="L1249" s="190"/>
      <c r="M1249" s="191"/>
      <c r="N1249" s="172"/>
      <c r="O1249" s="172"/>
      <c r="P1249" s="172"/>
      <c r="Q1249" s="172"/>
    </row>
    <row r="1250" spans="6:17" s="170" customFormat="1" x14ac:dyDescent="0.2">
      <c r="F1250" s="187"/>
      <c r="G1250" s="187"/>
      <c r="H1250" s="188"/>
      <c r="I1250" s="189"/>
      <c r="J1250" s="190"/>
      <c r="K1250" s="190"/>
      <c r="L1250" s="190"/>
      <c r="M1250" s="191"/>
      <c r="N1250" s="172"/>
      <c r="O1250" s="172"/>
      <c r="P1250" s="172"/>
      <c r="Q1250" s="172"/>
    </row>
    <row r="1251" spans="6:17" s="170" customFormat="1" x14ac:dyDescent="0.2">
      <c r="F1251" s="187"/>
      <c r="G1251" s="187"/>
      <c r="H1251" s="188"/>
      <c r="I1251" s="189"/>
      <c r="J1251" s="190"/>
      <c r="K1251" s="190"/>
      <c r="L1251" s="190"/>
      <c r="M1251" s="191"/>
      <c r="N1251" s="172"/>
      <c r="O1251" s="172"/>
      <c r="P1251" s="172"/>
      <c r="Q1251" s="172"/>
    </row>
    <row r="1252" spans="6:17" s="170" customFormat="1" x14ac:dyDescent="0.2">
      <c r="F1252" s="187"/>
      <c r="G1252" s="187"/>
      <c r="H1252" s="188"/>
      <c r="I1252" s="189"/>
      <c r="J1252" s="190"/>
      <c r="K1252" s="190"/>
      <c r="L1252" s="190"/>
      <c r="M1252" s="191"/>
      <c r="N1252" s="172"/>
      <c r="O1252" s="172"/>
      <c r="P1252" s="172"/>
      <c r="Q1252" s="172"/>
    </row>
    <row r="1253" spans="6:17" s="170" customFormat="1" x14ac:dyDescent="0.2">
      <c r="F1253" s="187"/>
      <c r="G1253" s="187"/>
      <c r="H1253" s="188"/>
      <c r="I1253" s="189"/>
      <c r="J1253" s="190"/>
      <c r="K1253" s="190"/>
      <c r="L1253" s="190"/>
      <c r="M1253" s="191"/>
      <c r="N1253" s="172"/>
      <c r="O1253" s="172"/>
      <c r="P1253" s="172"/>
      <c r="Q1253" s="172"/>
    </row>
    <row r="1254" spans="6:17" s="170" customFormat="1" x14ac:dyDescent="0.2">
      <c r="F1254" s="187"/>
      <c r="G1254" s="187"/>
      <c r="H1254" s="188"/>
      <c r="I1254" s="189"/>
      <c r="J1254" s="190"/>
      <c r="K1254" s="190"/>
      <c r="L1254" s="190"/>
      <c r="M1254" s="191"/>
      <c r="N1254" s="172"/>
      <c r="O1254" s="172"/>
      <c r="P1254" s="172"/>
      <c r="Q1254" s="172"/>
    </row>
    <row r="1255" spans="6:17" s="170" customFormat="1" x14ac:dyDescent="0.2">
      <c r="F1255" s="187"/>
      <c r="G1255" s="187"/>
      <c r="H1255" s="188"/>
      <c r="I1255" s="189"/>
      <c r="J1255" s="190"/>
      <c r="K1255" s="190"/>
      <c r="L1255" s="190"/>
      <c r="M1255" s="191"/>
      <c r="N1255" s="172"/>
      <c r="O1255" s="172"/>
      <c r="P1255" s="172"/>
      <c r="Q1255" s="172"/>
    </row>
    <row r="1256" spans="6:17" s="170" customFormat="1" x14ac:dyDescent="0.2">
      <c r="F1256" s="187"/>
      <c r="G1256" s="187"/>
      <c r="H1256" s="188"/>
      <c r="I1256" s="189"/>
      <c r="J1256" s="190"/>
      <c r="K1256" s="190"/>
      <c r="L1256" s="190"/>
      <c r="M1256" s="191"/>
      <c r="N1256" s="172"/>
      <c r="O1256" s="172"/>
      <c r="P1256" s="172"/>
      <c r="Q1256" s="172"/>
    </row>
    <row r="1257" spans="6:17" s="170" customFormat="1" x14ac:dyDescent="0.2">
      <c r="F1257" s="187"/>
      <c r="G1257" s="187"/>
      <c r="H1257" s="188"/>
      <c r="I1257" s="189"/>
      <c r="J1257" s="190"/>
      <c r="K1257" s="190"/>
      <c r="L1257" s="190"/>
      <c r="M1257" s="191"/>
      <c r="N1257" s="172"/>
      <c r="O1257" s="172"/>
      <c r="P1257" s="172"/>
      <c r="Q1257" s="172"/>
    </row>
    <row r="1258" spans="6:17" s="170" customFormat="1" x14ac:dyDescent="0.2">
      <c r="F1258" s="187"/>
      <c r="G1258" s="187"/>
      <c r="H1258" s="188"/>
      <c r="I1258" s="189"/>
      <c r="J1258" s="190"/>
      <c r="K1258" s="190"/>
      <c r="L1258" s="190"/>
      <c r="M1258" s="191"/>
      <c r="N1258" s="172"/>
      <c r="O1258" s="172"/>
      <c r="P1258" s="172"/>
      <c r="Q1258" s="172"/>
    </row>
    <row r="1259" spans="6:17" s="170" customFormat="1" x14ac:dyDescent="0.2">
      <c r="F1259" s="187"/>
      <c r="G1259" s="187"/>
      <c r="H1259" s="188"/>
      <c r="I1259" s="189"/>
      <c r="J1259" s="190"/>
      <c r="K1259" s="190"/>
      <c r="L1259" s="190"/>
      <c r="M1259" s="191"/>
      <c r="N1259" s="172"/>
      <c r="O1259" s="172"/>
      <c r="P1259" s="172"/>
      <c r="Q1259" s="172"/>
    </row>
    <row r="1260" spans="6:17" s="170" customFormat="1" x14ac:dyDescent="0.2">
      <c r="F1260" s="187"/>
      <c r="G1260" s="187"/>
      <c r="H1260" s="188"/>
      <c r="I1260" s="189"/>
      <c r="J1260" s="190"/>
      <c r="K1260" s="190"/>
      <c r="L1260" s="190"/>
      <c r="M1260" s="191"/>
      <c r="N1260" s="172"/>
      <c r="O1260" s="172"/>
      <c r="P1260" s="172"/>
      <c r="Q1260" s="172"/>
    </row>
    <row r="1261" spans="6:17" s="170" customFormat="1" x14ac:dyDescent="0.2">
      <c r="F1261" s="187"/>
      <c r="G1261" s="187"/>
      <c r="H1261" s="188"/>
      <c r="I1261" s="189"/>
      <c r="J1261" s="190"/>
      <c r="K1261" s="190"/>
      <c r="L1261" s="190"/>
      <c r="M1261" s="191"/>
      <c r="N1261" s="172"/>
      <c r="O1261" s="172"/>
      <c r="P1261" s="172"/>
      <c r="Q1261" s="172"/>
    </row>
    <row r="1262" spans="6:17" s="170" customFormat="1" x14ac:dyDescent="0.2">
      <c r="F1262" s="187"/>
      <c r="G1262" s="187"/>
      <c r="H1262" s="188"/>
      <c r="I1262" s="189"/>
      <c r="J1262" s="190"/>
      <c r="K1262" s="190"/>
      <c r="L1262" s="190"/>
      <c r="M1262" s="191"/>
      <c r="N1262" s="172"/>
      <c r="O1262" s="172"/>
      <c r="P1262" s="172"/>
      <c r="Q1262" s="172"/>
    </row>
    <row r="1263" spans="6:17" s="170" customFormat="1" x14ac:dyDescent="0.2">
      <c r="F1263" s="187"/>
      <c r="G1263" s="187"/>
      <c r="H1263" s="188"/>
      <c r="I1263" s="189"/>
      <c r="J1263" s="190"/>
      <c r="K1263" s="190"/>
      <c r="L1263" s="190"/>
      <c r="M1263" s="191"/>
      <c r="N1263" s="172"/>
      <c r="O1263" s="172"/>
      <c r="P1263" s="172"/>
      <c r="Q1263" s="172"/>
    </row>
    <row r="1264" spans="6:17" s="170" customFormat="1" x14ac:dyDescent="0.2">
      <c r="F1264" s="187"/>
      <c r="G1264" s="187"/>
      <c r="H1264" s="188"/>
      <c r="I1264" s="189"/>
      <c r="J1264" s="190"/>
      <c r="K1264" s="190"/>
      <c r="L1264" s="190"/>
      <c r="M1264" s="191"/>
      <c r="N1264" s="172"/>
      <c r="O1264" s="172"/>
      <c r="P1264" s="172"/>
      <c r="Q1264" s="172"/>
    </row>
    <row r="1265" spans="6:17" s="170" customFormat="1" x14ac:dyDescent="0.2">
      <c r="F1265" s="187"/>
      <c r="G1265" s="187"/>
      <c r="H1265" s="188"/>
      <c r="I1265" s="189"/>
      <c r="J1265" s="190"/>
      <c r="K1265" s="190"/>
      <c r="L1265" s="190"/>
      <c r="M1265" s="191"/>
      <c r="N1265" s="172"/>
      <c r="O1265" s="172"/>
      <c r="P1265" s="172"/>
      <c r="Q1265" s="172"/>
    </row>
    <row r="1266" spans="6:17" s="170" customFormat="1" x14ac:dyDescent="0.2">
      <c r="F1266" s="187"/>
      <c r="G1266" s="187"/>
      <c r="H1266" s="188"/>
      <c r="I1266" s="189"/>
      <c r="J1266" s="190"/>
      <c r="K1266" s="190"/>
      <c r="L1266" s="190"/>
      <c r="M1266" s="191"/>
      <c r="N1266" s="172"/>
      <c r="O1266" s="172"/>
      <c r="P1266" s="172"/>
      <c r="Q1266" s="172"/>
    </row>
    <row r="1267" spans="6:17" s="170" customFormat="1" x14ac:dyDescent="0.2">
      <c r="F1267" s="187"/>
      <c r="G1267" s="187"/>
      <c r="H1267" s="188"/>
      <c r="I1267" s="189"/>
      <c r="J1267" s="190"/>
      <c r="K1267" s="190"/>
      <c r="L1267" s="190"/>
      <c r="M1267" s="191"/>
      <c r="N1267" s="172"/>
      <c r="O1267" s="172"/>
      <c r="P1267" s="172"/>
      <c r="Q1267" s="172"/>
    </row>
    <row r="1268" spans="6:17" s="170" customFormat="1" x14ac:dyDescent="0.2">
      <c r="F1268" s="187"/>
      <c r="G1268" s="187"/>
      <c r="H1268" s="188"/>
      <c r="I1268" s="189"/>
      <c r="J1268" s="190"/>
      <c r="K1268" s="190"/>
      <c r="L1268" s="190"/>
      <c r="M1268" s="191"/>
      <c r="N1268" s="172"/>
      <c r="O1268" s="172"/>
      <c r="P1268" s="172"/>
      <c r="Q1268" s="172"/>
    </row>
    <row r="1269" spans="6:17" s="170" customFormat="1" x14ac:dyDescent="0.2">
      <c r="F1269" s="187"/>
      <c r="G1269" s="187"/>
      <c r="H1269" s="188"/>
      <c r="I1269" s="189"/>
      <c r="J1269" s="190"/>
      <c r="K1269" s="190"/>
      <c r="L1269" s="190"/>
      <c r="M1269" s="191"/>
      <c r="N1269" s="172"/>
      <c r="O1269" s="172"/>
      <c r="P1269" s="172"/>
      <c r="Q1269" s="172"/>
    </row>
    <row r="1270" spans="6:17" s="170" customFormat="1" x14ac:dyDescent="0.2">
      <c r="F1270" s="187"/>
      <c r="G1270" s="187"/>
      <c r="H1270" s="188"/>
      <c r="I1270" s="189"/>
      <c r="J1270" s="190"/>
      <c r="K1270" s="190"/>
      <c r="L1270" s="190"/>
      <c r="M1270" s="191"/>
      <c r="N1270" s="172"/>
      <c r="O1270" s="172"/>
      <c r="P1270" s="172"/>
      <c r="Q1270" s="172"/>
    </row>
    <row r="1271" spans="6:17" s="170" customFormat="1" x14ac:dyDescent="0.2">
      <c r="F1271" s="187"/>
      <c r="G1271" s="187"/>
      <c r="H1271" s="188"/>
      <c r="I1271" s="189"/>
      <c r="J1271" s="190"/>
      <c r="K1271" s="190"/>
      <c r="L1271" s="190"/>
      <c r="M1271" s="191"/>
      <c r="N1271" s="172"/>
      <c r="O1271" s="172"/>
      <c r="P1271" s="172"/>
      <c r="Q1271" s="172"/>
    </row>
    <row r="1272" spans="6:17" s="170" customFormat="1" x14ac:dyDescent="0.2">
      <c r="F1272" s="187"/>
      <c r="G1272" s="187"/>
      <c r="H1272" s="188"/>
      <c r="I1272" s="189"/>
      <c r="J1272" s="190"/>
      <c r="K1272" s="190"/>
      <c r="L1272" s="190"/>
      <c r="M1272" s="191"/>
      <c r="N1272" s="172"/>
      <c r="O1272" s="172"/>
      <c r="P1272" s="172"/>
      <c r="Q1272" s="172"/>
    </row>
    <row r="1273" spans="6:17" s="170" customFormat="1" x14ac:dyDescent="0.2">
      <c r="F1273" s="187"/>
      <c r="G1273" s="187"/>
      <c r="H1273" s="188"/>
      <c r="I1273" s="189"/>
      <c r="J1273" s="190"/>
      <c r="K1273" s="190"/>
      <c r="L1273" s="190"/>
      <c r="M1273" s="191"/>
      <c r="N1273" s="172"/>
      <c r="O1273" s="172"/>
      <c r="P1273" s="172"/>
      <c r="Q1273" s="172"/>
    </row>
    <row r="1274" spans="6:17" s="170" customFormat="1" x14ac:dyDescent="0.2">
      <c r="F1274" s="187"/>
      <c r="G1274" s="187"/>
      <c r="H1274" s="188"/>
      <c r="I1274" s="189"/>
      <c r="J1274" s="190"/>
      <c r="K1274" s="190"/>
      <c r="L1274" s="190"/>
      <c r="M1274" s="191"/>
      <c r="N1274" s="172"/>
      <c r="O1274" s="172"/>
      <c r="P1274" s="172"/>
      <c r="Q1274" s="172"/>
    </row>
    <row r="1275" spans="6:17" s="170" customFormat="1" x14ac:dyDescent="0.2">
      <c r="F1275" s="187"/>
      <c r="G1275" s="187"/>
      <c r="H1275" s="188"/>
      <c r="I1275" s="189"/>
      <c r="J1275" s="190"/>
      <c r="K1275" s="190"/>
      <c r="L1275" s="190"/>
      <c r="M1275" s="191"/>
      <c r="N1275" s="172"/>
      <c r="O1275" s="172"/>
      <c r="P1275" s="172"/>
      <c r="Q1275" s="172"/>
    </row>
    <row r="1276" spans="6:17" s="170" customFormat="1" x14ac:dyDescent="0.2">
      <c r="F1276" s="187"/>
      <c r="G1276" s="187"/>
      <c r="H1276" s="188"/>
      <c r="I1276" s="189"/>
      <c r="J1276" s="190"/>
      <c r="K1276" s="190"/>
      <c r="L1276" s="190"/>
      <c r="M1276" s="191"/>
      <c r="N1276" s="172"/>
      <c r="O1276" s="172"/>
      <c r="P1276" s="172"/>
      <c r="Q1276" s="172"/>
    </row>
    <row r="1277" spans="6:17" s="170" customFormat="1" x14ac:dyDescent="0.2">
      <c r="F1277" s="187"/>
      <c r="G1277" s="187"/>
      <c r="H1277" s="188"/>
      <c r="I1277" s="189"/>
      <c r="J1277" s="190"/>
      <c r="K1277" s="190"/>
      <c r="L1277" s="190"/>
      <c r="M1277" s="191"/>
      <c r="N1277" s="172"/>
      <c r="O1277" s="172"/>
      <c r="P1277" s="172"/>
      <c r="Q1277" s="172"/>
    </row>
    <row r="1278" spans="6:17" s="170" customFormat="1" x14ac:dyDescent="0.2">
      <c r="F1278" s="187"/>
      <c r="G1278" s="187"/>
      <c r="H1278" s="188"/>
      <c r="I1278" s="189"/>
      <c r="J1278" s="190"/>
      <c r="K1278" s="190"/>
      <c r="L1278" s="190"/>
      <c r="M1278" s="191"/>
      <c r="N1278" s="172"/>
      <c r="O1278" s="172"/>
      <c r="P1278" s="172"/>
      <c r="Q1278" s="172"/>
    </row>
    <row r="1279" spans="6:17" s="170" customFormat="1" x14ac:dyDescent="0.2">
      <c r="F1279" s="187"/>
      <c r="G1279" s="187"/>
      <c r="H1279" s="188"/>
      <c r="I1279" s="189"/>
      <c r="J1279" s="190"/>
      <c r="K1279" s="190"/>
      <c r="L1279" s="190"/>
      <c r="M1279" s="191"/>
      <c r="N1279" s="172"/>
      <c r="O1279" s="172"/>
      <c r="P1279" s="172"/>
      <c r="Q1279" s="172"/>
    </row>
    <row r="1280" spans="6:17" s="170" customFormat="1" x14ac:dyDescent="0.2">
      <c r="F1280" s="187"/>
      <c r="G1280" s="187"/>
      <c r="H1280" s="188"/>
      <c r="I1280" s="189"/>
      <c r="J1280" s="190"/>
      <c r="K1280" s="190"/>
      <c r="L1280" s="190"/>
      <c r="M1280" s="191"/>
      <c r="N1280" s="172"/>
      <c r="O1280" s="172"/>
      <c r="P1280" s="172"/>
      <c r="Q1280" s="172"/>
    </row>
    <row r="1281" spans="6:17" s="170" customFormat="1" x14ac:dyDescent="0.2">
      <c r="F1281" s="187"/>
      <c r="G1281" s="187"/>
      <c r="H1281" s="188"/>
      <c r="I1281" s="189"/>
      <c r="J1281" s="190"/>
      <c r="K1281" s="190"/>
      <c r="L1281" s="190"/>
      <c r="M1281" s="191"/>
      <c r="N1281" s="172"/>
      <c r="O1281" s="172"/>
      <c r="P1281" s="172"/>
      <c r="Q1281" s="172"/>
    </row>
    <row r="1282" spans="6:17" s="170" customFormat="1" x14ac:dyDescent="0.2">
      <c r="F1282" s="187"/>
      <c r="G1282" s="187"/>
      <c r="H1282" s="188"/>
      <c r="I1282" s="189"/>
      <c r="J1282" s="190"/>
      <c r="K1282" s="190"/>
      <c r="L1282" s="190"/>
      <c r="M1282" s="191"/>
      <c r="N1282" s="172"/>
      <c r="O1282" s="172"/>
      <c r="P1282" s="172"/>
      <c r="Q1282" s="172"/>
    </row>
    <row r="1283" spans="6:17" s="170" customFormat="1" x14ac:dyDescent="0.2">
      <c r="F1283" s="187"/>
      <c r="G1283" s="187"/>
      <c r="H1283" s="188"/>
      <c r="I1283" s="189"/>
      <c r="J1283" s="190"/>
      <c r="K1283" s="190"/>
      <c r="L1283" s="190"/>
      <c r="M1283" s="191"/>
      <c r="N1283" s="172"/>
      <c r="O1283" s="172"/>
      <c r="P1283" s="172"/>
      <c r="Q1283" s="172"/>
    </row>
    <row r="1284" spans="6:17" s="170" customFormat="1" x14ac:dyDescent="0.2">
      <c r="F1284" s="187"/>
      <c r="G1284" s="187"/>
      <c r="H1284" s="188"/>
      <c r="I1284" s="189"/>
      <c r="J1284" s="190"/>
      <c r="K1284" s="190"/>
      <c r="L1284" s="190"/>
      <c r="M1284" s="191"/>
      <c r="N1284" s="172"/>
      <c r="O1284" s="172"/>
      <c r="P1284" s="172"/>
      <c r="Q1284" s="172"/>
    </row>
    <row r="1285" spans="6:17" s="170" customFormat="1" x14ac:dyDescent="0.2">
      <c r="F1285" s="187"/>
      <c r="G1285" s="187"/>
      <c r="H1285" s="188"/>
      <c r="I1285" s="189"/>
      <c r="J1285" s="190"/>
      <c r="K1285" s="190"/>
      <c r="L1285" s="190"/>
      <c r="M1285" s="191"/>
      <c r="N1285" s="172"/>
      <c r="O1285" s="172"/>
      <c r="P1285" s="172"/>
      <c r="Q1285" s="172"/>
    </row>
    <row r="1286" spans="6:17" s="170" customFormat="1" x14ac:dyDescent="0.2">
      <c r="F1286" s="187"/>
      <c r="G1286" s="187"/>
      <c r="H1286" s="188"/>
      <c r="I1286" s="189"/>
      <c r="J1286" s="190"/>
      <c r="K1286" s="190"/>
      <c r="L1286" s="190"/>
      <c r="M1286" s="191"/>
      <c r="N1286" s="172"/>
      <c r="O1286" s="172"/>
      <c r="P1286" s="172"/>
      <c r="Q1286" s="172"/>
    </row>
    <row r="1287" spans="6:17" s="170" customFormat="1" x14ac:dyDescent="0.2">
      <c r="F1287" s="187"/>
      <c r="G1287" s="187"/>
      <c r="H1287" s="188"/>
      <c r="I1287" s="189"/>
      <c r="J1287" s="190"/>
      <c r="K1287" s="190"/>
      <c r="L1287" s="190"/>
      <c r="M1287" s="191"/>
      <c r="N1287" s="172"/>
      <c r="O1287" s="172"/>
      <c r="P1287" s="172"/>
      <c r="Q1287" s="172"/>
    </row>
    <row r="1288" spans="6:17" s="170" customFormat="1" x14ac:dyDescent="0.2">
      <c r="F1288" s="187"/>
      <c r="G1288" s="187"/>
      <c r="H1288" s="188"/>
      <c r="I1288" s="189"/>
      <c r="J1288" s="190"/>
      <c r="K1288" s="190"/>
      <c r="L1288" s="190"/>
      <c r="M1288" s="191"/>
      <c r="N1288" s="172"/>
      <c r="O1288" s="172"/>
      <c r="P1288" s="172"/>
      <c r="Q1288" s="172"/>
    </row>
    <row r="1289" spans="6:17" s="170" customFormat="1" x14ac:dyDescent="0.2">
      <c r="F1289" s="187"/>
      <c r="G1289" s="187"/>
      <c r="H1289" s="188"/>
      <c r="I1289" s="189"/>
      <c r="J1289" s="190"/>
      <c r="K1289" s="190"/>
      <c r="L1289" s="190"/>
      <c r="M1289" s="191"/>
      <c r="N1289" s="172"/>
      <c r="O1289" s="172"/>
      <c r="P1289" s="172"/>
      <c r="Q1289" s="172"/>
    </row>
    <row r="1290" spans="6:17" s="170" customFormat="1" x14ac:dyDescent="0.2">
      <c r="F1290" s="187"/>
      <c r="G1290" s="187"/>
      <c r="H1290" s="188"/>
      <c r="I1290" s="189"/>
      <c r="J1290" s="190"/>
      <c r="K1290" s="190"/>
      <c r="L1290" s="190"/>
      <c r="M1290" s="191"/>
      <c r="N1290" s="172"/>
      <c r="O1290" s="172"/>
      <c r="P1290" s="172"/>
      <c r="Q1290" s="172"/>
    </row>
    <row r="1291" spans="6:17" s="170" customFormat="1" x14ac:dyDescent="0.2">
      <c r="F1291" s="187"/>
      <c r="G1291" s="187"/>
      <c r="H1291" s="188"/>
      <c r="I1291" s="189"/>
      <c r="J1291" s="190"/>
      <c r="K1291" s="190"/>
      <c r="L1291" s="190"/>
      <c r="M1291" s="191"/>
      <c r="N1291" s="172"/>
      <c r="O1291" s="172"/>
      <c r="P1291" s="172"/>
      <c r="Q1291" s="172"/>
    </row>
    <row r="1292" spans="6:17" s="170" customFormat="1" x14ac:dyDescent="0.2">
      <c r="F1292" s="187"/>
      <c r="G1292" s="187"/>
      <c r="H1292" s="188"/>
      <c r="I1292" s="189"/>
      <c r="J1292" s="190"/>
      <c r="K1292" s="190"/>
      <c r="L1292" s="190"/>
      <c r="M1292" s="191"/>
      <c r="N1292" s="172"/>
      <c r="O1292" s="172"/>
      <c r="P1292" s="172"/>
      <c r="Q1292" s="172"/>
    </row>
    <row r="1293" spans="6:17" s="170" customFormat="1" x14ac:dyDescent="0.2">
      <c r="F1293" s="187"/>
      <c r="G1293" s="187"/>
      <c r="H1293" s="188"/>
      <c r="I1293" s="189"/>
      <c r="J1293" s="190"/>
      <c r="K1293" s="190"/>
      <c r="L1293" s="190"/>
      <c r="M1293" s="191"/>
      <c r="N1293" s="172"/>
      <c r="O1293" s="172"/>
      <c r="P1293" s="172"/>
      <c r="Q1293" s="172"/>
    </row>
    <row r="1294" spans="6:17" s="170" customFormat="1" x14ac:dyDescent="0.2">
      <c r="F1294" s="187"/>
      <c r="G1294" s="187"/>
      <c r="H1294" s="188"/>
      <c r="I1294" s="189"/>
      <c r="J1294" s="190"/>
      <c r="K1294" s="190"/>
      <c r="L1294" s="190"/>
      <c r="M1294" s="191"/>
      <c r="N1294" s="172"/>
      <c r="O1294" s="172"/>
      <c r="P1294" s="172"/>
      <c r="Q1294" s="172"/>
    </row>
    <row r="1295" spans="6:17" s="170" customFormat="1" x14ac:dyDescent="0.2">
      <c r="F1295" s="187"/>
      <c r="G1295" s="187"/>
      <c r="H1295" s="188"/>
      <c r="I1295" s="189"/>
      <c r="J1295" s="190"/>
      <c r="K1295" s="190"/>
      <c r="L1295" s="190"/>
      <c r="M1295" s="191"/>
      <c r="N1295" s="172"/>
      <c r="O1295" s="172"/>
      <c r="P1295" s="172"/>
      <c r="Q1295" s="172"/>
    </row>
    <row r="1296" spans="6:17" s="170" customFormat="1" x14ac:dyDescent="0.2">
      <c r="F1296" s="187"/>
      <c r="G1296" s="187"/>
      <c r="H1296" s="188"/>
      <c r="I1296" s="189"/>
      <c r="J1296" s="190"/>
      <c r="K1296" s="190"/>
      <c r="L1296" s="190"/>
      <c r="M1296" s="191"/>
      <c r="N1296" s="172"/>
      <c r="O1296" s="172"/>
      <c r="P1296" s="172"/>
      <c r="Q1296" s="172"/>
    </row>
    <row r="1297" spans="6:17" s="170" customFormat="1" x14ac:dyDescent="0.2">
      <c r="F1297" s="187"/>
      <c r="G1297" s="187"/>
      <c r="H1297" s="188"/>
      <c r="I1297" s="189"/>
      <c r="J1297" s="190"/>
      <c r="K1297" s="190"/>
      <c r="L1297" s="190"/>
      <c r="M1297" s="191"/>
      <c r="N1297" s="172"/>
      <c r="O1297" s="172"/>
      <c r="P1297" s="172"/>
      <c r="Q1297" s="172"/>
    </row>
    <row r="1298" spans="6:17" s="170" customFormat="1" x14ac:dyDescent="0.2">
      <c r="F1298" s="187"/>
      <c r="G1298" s="187"/>
      <c r="H1298" s="188"/>
      <c r="I1298" s="189"/>
      <c r="J1298" s="190"/>
      <c r="K1298" s="190"/>
      <c r="L1298" s="190"/>
      <c r="M1298" s="191"/>
      <c r="N1298" s="172"/>
      <c r="O1298" s="172"/>
      <c r="P1298" s="172"/>
      <c r="Q1298" s="172"/>
    </row>
    <row r="1299" spans="6:17" s="170" customFormat="1" x14ac:dyDescent="0.2">
      <c r="F1299" s="187"/>
      <c r="G1299" s="187"/>
      <c r="H1299" s="188"/>
      <c r="I1299" s="189"/>
      <c r="J1299" s="190"/>
      <c r="K1299" s="190"/>
      <c r="L1299" s="190"/>
      <c r="M1299" s="191"/>
      <c r="N1299" s="172"/>
      <c r="O1299" s="172"/>
      <c r="P1299" s="172"/>
      <c r="Q1299" s="172"/>
    </row>
    <row r="1300" spans="6:17" s="170" customFormat="1" x14ac:dyDescent="0.2">
      <c r="F1300" s="187"/>
      <c r="G1300" s="187"/>
      <c r="H1300" s="188"/>
      <c r="I1300" s="189"/>
      <c r="J1300" s="190"/>
      <c r="K1300" s="190"/>
      <c r="L1300" s="190"/>
      <c r="M1300" s="191"/>
      <c r="N1300" s="172"/>
      <c r="O1300" s="172"/>
      <c r="P1300" s="172"/>
      <c r="Q1300" s="172"/>
    </row>
    <row r="1301" spans="6:17" s="170" customFormat="1" x14ac:dyDescent="0.2">
      <c r="F1301" s="187"/>
      <c r="G1301" s="187"/>
      <c r="H1301" s="188"/>
      <c r="I1301" s="189"/>
      <c r="J1301" s="190"/>
      <c r="K1301" s="190"/>
      <c r="L1301" s="190"/>
      <c r="M1301" s="191"/>
      <c r="N1301" s="172"/>
      <c r="O1301" s="172"/>
      <c r="P1301" s="172"/>
      <c r="Q1301" s="172"/>
    </row>
    <row r="1302" spans="6:17" s="170" customFormat="1" x14ac:dyDescent="0.2">
      <c r="F1302" s="187"/>
      <c r="G1302" s="187"/>
      <c r="H1302" s="188"/>
      <c r="I1302" s="189"/>
      <c r="J1302" s="190"/>
      <c r="K1302" s="190"/>
      <c r="L1302" s="190"/>
      <c r="M1302" s="191"/>
      <c r="N1302" s="172"/>
      <c r="O1302" s="172"/>
      <c r="P1302" s="172"/>
      <c r="Q1302" s="172"/>
    </row>
    <row r="1303" spans="6:17" s="170" customFormat="1" x14ac:dyDescent="0.2">
      <c r="F1303" s="187"/>
      <c r="G1303" s="187"/>
      <c r="H1303" s="188"/>
      <c r="I1303" s="189"/>
      <c r="J1303" s="190"/>
      <c r="K1303" s="190"/>
      <c r="L1303" s="190"/>
      <c r="M1303" s="191"/>
      <c r="N1303" s="172"/>
      <c r="O1303" s="172"/>
      <c r="P1303" s="172"/>
      <c r="Q1303" s="172"/>
    </row>
    <row r="1304" spans="6:17" s="170" customFormat="1" x14ac:dyDescent="0.2">
      <c r="F1304" s="187"/>
      <c r="G1304" s="187"/>
      <c r="H1304" s="188"/>
      <c r="I1304" s="189"/>
      <c r="J1304" s="190"/>
      <c r="K1304" s="190"/>
      <c r="L1304" s="190"/>
      <c r="M1304" s="191"/>
      <c r="N1304" s="172"/>
      <c r="O1304" s="172"/>
      <c r="P1304" s="172"/>
      <c r="Q1304" s="172"/>
    </row>
    <row r="1305" spans="6:17" s="170" customFormat="1" x14ac:dyDescent="0.2">
      <c r="F1305" s="187"/>
      <c r="G1305" s="187"/>
      <c r="H1305" s="188"/>
      <c r="I1305" s="189"/>
      <c r="J1305" s="190"/>
      <c r="K1305" s="190"/>
      <c r="L1305" s="190"/>
      <c r="M1305" s="191"/>
      <c r="N1305" s="172"/>
      <c r="O1305" s="172"/>
      <c r="P1305" s="172"/>
      <c r="Q1305" s="172"/>
    </row>
    <row r="1306" spans="6:17" s="170" customFormat="1" x14ac:dyDescent="0.2">
      <c r="F1306" s="187"/>
      <c r="G1306" s="187"/>
      <c r="H1306" s="188"/>
      <c r="I1306" s="189"/>
      <c r="J1306" s="190"/>
      <c r="K1306" s="190"/>
      <c r="L1306" s="190"/>
      <c r="M1306" s="191"/>
      <c r="N1306" s="172"/>
      <c r="O1306" s="172"/>
      <c r="P1306" s="172"/>
      <c r="Q1306" s="172"/>
    </row>
    <row r="1307" spans="6:17" s="170" customFormat="1" x14ac:dyDescent="0.2">
      <c r="F1307" s="187"/>
      <c r="G1307" s="187"/>
      <c r="H1307" s="188"/>
      <c r="I1307" s="189"/>
      <c r="J1307" s="190"/>
      <c r="K1307" s="190"/>
      <c r="L1307" s="190"/>
      <c r="M1307" s="191"/>
      <c r="N1307" s="172"/>
      <c r="O1307" s="172"/>
      <c r="P1307" s="172"/>
      <c r="Q1307" s="172"/>
    </row>
    <row r="1308" spans="6:17" s="170" customFormat="1" x14ac:dyDescent="0.2">
      <c r="F1308" s="187"/>
      <c r="G1308" s="187"/>
      <c r="H1308" s="188"/>
      <c r="I1308" s="189"/>
      <c r="J1308" s="190"/>
      <c r="K1308" s="190"/>
      <c r="L1308" s="190"/>
      <c r="M1308" s="191"/>
      <c r="N1308" s="172"/>
      <c r="O1308" s="172"/>
      <c r="P1308" s="172"/>
      <c r="Q1308" s="172"/>
    </row>
    <row r="1309" spans="6:17" s="170" customFormat="1" x14ac:dyDescent="0.2">
      <c r="F1309" s="187"/>
      <c r="G1309" s="187"/>
      <c r="H1309" s="188"/>
      <c r="I1309" s="189"/>
      <c r="J1309" s="190"/>
      <c r="K1309" s="190"/>
      <c r="L1309" s="190"/>
      <c r="M1309" s="191"/>
      <c r="N1309" s="172"/>
      <c r="O1309" s="172"/>
      <c r="P1309" s="172"/>
      <c r="Q1309" s="172"/>
    </row>
    <row r="1310" spans="6:17" s="170" customFormat="1" x14ac:dyDescent="0.2">
      <c r="F1310" s="187"/>
      <c r="G1310" s="187"/>
      <c r="H1310" s="188"/>
      <c r="I1310" s="189"/>
      <c r="J1310" s="190"/>
      <c r="K1310" s="190"/>
      <c r="L1310" s="190"/>
      <c r="M1310" s="191"/>
      <c r="N1310" s="172"/>
      <c r="O1310" s="172"/>
      <c r="P1310" s="172"/>
      <c r="Q1310" s="172"/>
    </row>
    <row r="1311" spans="6:17" s="170" customFormat="1" x14ac:dyDescent="0.2">
      <c r="F1311" s="187"/>
      <c r="G1311" s="187"/>
      <c r="H1311" s="188"/>
      <c r="I1311" s="189"/>
      <c r="J1311" s="190"/>
      <c r="K1311" s="190"/>
      <c r="L1311" s="190"/>
      <c r="M1311" s="191"/>
      <c r="N1311" s="172"/>
      <c r="O1311" s="172"/>
      <c r="P1311" s="172"/>
      <c r="Q1311" s="172"/>
    </row>
    <row r="1312" spans="6:17" s="170" customFormat="1" x14ac:dyDescent="0.2">
      <c r="F1312" s="187"/>
      <c r="G1312" s="187"/>
      <c r="H1312" s="188"/>
      <c r="I1312" s="189"/>
      <c r="J1312" s="190"/>
      <c r="K1312" s="190"/>
      <c r="L1312" s="190"/>
      <c r="M1312" s="191"/>
      <c r="N1312" s="172"/>
      <c r="O1312" s="172"/>
      <c r="P1312" s="172"/>
      <c r="Q1312" s="172"/>
    </row>
    <row r="1313" spans="6:17" s="170" customFormat="1" x14ac:dyDescent="0.2">
      <c r="F1313" s="187"/>
      <c r="G1313" s="187"/>
      <c r="H1313" s="188"/>
      <c r="I1313" s="189"/>
      <c r="J1313" s="190"/>
      <c r="K1313" s="190"/>
      <c r="L1313" s="190"/>
      <c r="M1313" s="191"/>
      <c r="N1313" s="172"/>
      <c r="O1313" s="172"/>
      <c r="P1313" s="172"/>
      <c r="Q1313" s="172"/>
    </row>
    <row r="1314" spans="6:17" s="170" customFormat="1" x14ac:dyDescent="0.2">
      <c r="F1314" s="187"/>
      <c r="G1314" s="187"/>
      <c r="H1314" s="188"/>
      <c r="I1314" s="189"/>
      <c r="J1314" s="190"/>
      <c r="K1314" s="190"/>
      <c r="L1314" s="190"/>
      <c r="M1314" s="191"/>
      <c r="N1314" s="172"/>
      <c r="O1314" s="172"/>
      <c r="P1314" s="172"/>
      <c r="Q1314" s="172"/>
    </row>
    <row r="1315" spans="6:17" s="170" customFormat="1" x14ac:dyDescent="0.2">
      <c r="F1315" s="187"/>
      <c r="G1315" s="187"/>
      <c r="H1315" s="188"/>
      <c r="I1315" s="189"/>
      <c r="J1315" s="190"/>
      <c r="K1315" s="190"/>
      <c r="L1315" s="190"/>
      <c r="M1315" s="191"/>
      <c r="N1315" s="172"/>
      <c r="O1315" s="172"/>
      <c r="P1315" s="172"/>
      <c r="Q1315" s="172"/>
    </row>
    <row r="1316" spans="6:17" s="170" customFormat="1" x14ac:dyDescent="0.2">
      <c r="F1316" s="187"/>
      <c r="G1316" s="187"/>
      <c r="H1316" s="188"/>
      <c r="I1316" s="189"/>
      <c r="J1316" s="190"/>
      <c r="K1316" s="190"/>
      <c r="L1316" s="190"/>
      <c r="M1316" s="191"/>
      <c r="N1316" s="172"/>
      <c r="O1316" s="172"/>
      <c r="P1316" s="172"/>
      <c r="Q1316" s="172"/>
    </row>
    <row r="1317" spans="6:17" s="170" customFormat="1" x14ac:dyDescent="0.2">
      <c r="F1317" s="187"/>
      <c r="G1317" s="187"/>
      <c r="H1317" s="188"/>
      <c r="I1317" s="189"/>
      <c r="J1317" s="190"/>
      <c r="K1317" s="190"/>
      <c r="L1317" s="190"/>
      <c r="M1317" s="191"/>
      <c r="N1317" s="172"/>
      <c r="O1317" s="172"/>
      <c r="P1317" s="172"/>
      <c r="Q1317" s="172"/>
    </row>
    <row r="1318" spans="6:17" s="170" customFormat="1" x14ac:dyDescent="0.2">
      <c r="F1318" s="187"/>
      <c r="G1318" s="187"/>
      <c r="H1318" s="188"/>
      <c r="I1318" s="189"/>
      <c r="J1318" s="190"/>
      <c r="K1318" s="190"/>
      <c r="L1318" s="190"/>
      <c r="M1318" s="191"/>
      <c r="N1318" s="172"/>
      <c r="O1318" s="172"/>
      <c r="P1318" s="172"/>
      <c r="Q1318" s="172"/>
    </row>
    <row r="1319" spans="6:17" s="170" customFormat="1" x14ac:dyDescent="0.2">
      <c r="F1319" s="187"/>
      <c r="G1319" s="187"/>
      <c r="H1319" s="188"/>
      <c r="I1319" s="189"/>
      <c r="J1319" s="190"/>
      <c r="K1319" s="190"/>
      <c r="L1319" s="190"/>
      <c r="M1319" s="191"/>
      <c r="N1319" s="172"/>
      <c r="O1319" s="172"/>
      <c r="P1319" s="172"/>
      <c r="Q1319" s="172"/>
    </row>
    <row r="1320" spans="6:17" s="170" customFormat="1" x14ac:dyDescent="0.2">
      <c r="F1320" s="187"/>
      <c r="G1320" s="187"/>
      <c r="H1320" s="188"/>
      <c r="I1320" s="189"/>
      <c r="J1320" s="190"/>
      <c r="K1320" s="190"/>
      <c r="L1320" s="190"/>
      <c r="M1320" s="191"/>
      <c r="N1320" s="172"/>
      <c r="O1320" s="172"/>
      <c r="P1320" s="172"/>
      <c r="Q1320" s="172"/>
    </row>
    <row r="1321" spans="6:17" s="170" customFormat="1" x14ac:dyDescent="0.2">
      <c r="F1321" s="187"/>
      <c r="G1321" s="187"/>
      <c r="H1321" s="188"/>
      <c r="I1321" s="189"/>
      <c r="J1321" s="190"/>
      <c r="K1321" s="190"/>
      <c r="L1321" s="190"/>
      <c r="M1321" s="191"/>
      <c r="N1321" s="172"/>
      <c r="O1321" s="172"/>
      <c r="P1321" s="172"/>
      <c r="Q1321" s="172"/>
    </row>
    <row r="1322" spans="6:17" s="170" customFormat="1" x14ac:dyDescent="0.2">
      <c r="F1322" s="187"/>
      <c r="G1322" s="187"/>
      <c r="H1322" s="188"/>
      <c r="I1322" s="189"/>
      <c r="J1322" s="190"/>
      <c r="K1322" s="190"/>
      <c r="L1322" s="190"/>
      <c r="M1322" s="191"/>
      <c r="N1322" s="172"/>
      <c r="O1322" s="172"/>
      <c r="P1322" s="172"/>
      <c r="Q1322" s="172"/>
    </row>
    <row r="1323" spans="6:17" s="170" customFormat="1" x14ac:dyDescent="0.2">
      <c r="F1323" s="187"/>
      <c r="G1323" s="187"/>
      <c r="H1323" s="188"/>
      <c r="I1323" s="189"/>
      <c r="J1323" s="190"/>
      <c r="K1323" s="190"/>
      <c r="L1323" s="190"/>
      <c r="M1323" s="191"/>
      <c r="N1323" s="172"/>
      <c r="O1323" s="172"/>
      <c r="P1323" s="172"/>
      <c r="Q1323" s="172"/>
    </row>
    <row r="1324" spans="6:17" s="170" customFormat="1" x14ac:dyDescent="0.2">
      <c r="F1324" s="187"/>
      <c r="G1324" s="187"/>
      <c r="H1324" s="188"/>
      <c r="I1324" s="189"/>
      <c r="J1324" s="190"/>
      <c r="K1324" s="190"/>
      <c r="L1324" s="190"/>
      <c r="M1324" s="191"/>
      <c r="N1324" s="172"/>
      <c r="O1324" s="172"/>
      <c r="P1324" s="172"/>
      <c r="Q1324" s="172"/>
    </row>
    <row r="1325" spans="6:17" s="170" customFormat="1" x14ac:dyDescent="0.2">
      <c r="F1325" s="187"/>
      <c r="G1325" s="187"/>
      <c r="H1325" s="188"/>
      <c r="I1325" s="189"/>
      <c r="J1325" s="190"/>
      <c r="K1325" s="190"/>
      <c r="L1325" s="190"/>
      <c r="M1325" s="191"/>
      <c r="N1325" s="172"/>
      <c r="O1325" s="172"/>
      <c r="P1325" s="172"/>
      <c r="Q1325" s="172"/>
    </row>
    <row r="1326" spans="6:17" s="170" customFormat="1" x14ac:dyDescent="0.2">
      <c r="F1326" s="187"/>
      <c r="G1326" s="187"/>
      <c r="H1326" s="188"/>
      <c r="I1326" s="189"/>
      <c r="J1326" s="190"/>
      <c r="K1326" s="190"/>
      <c r="L1326" s="190"/>
      <c r="M1326" s="191"/>
      <c r="N1326" s="172"/>
      <c r="O1326" s="172"/>
      <c r="P1326" s="172"/>
      <c r="Q1326" s="172"/>
    </row>
    <row r="1327" spans="6:17" s="170" customFormat="1" x14ac:dyDescent="0.2">
      <c r="F1327" s="187"/>
      <c r="G1327" s="187"/>
      <c r="H1327" s="188"/>
      <c r="I1327" s="189"/>
      <c r="J1327" s="190"/>
      <c r="K1327" s="190"/>
      <c r="L1327" s="190"/>
      <c r="M1327" s="191"/>
      <c r="N1327" s="172"/>
      <c r="O1327" s="172"/>
      <c r="P1327" s="172"/>
      <c r="Q1327" s="172"/>
    </row>
    <row r="1328" spans="6:17" s="170" customFormat="1" x14ac:dyDescent="0.2">
      <c r="F1328" s="187"/>
      <c r="G1328" s="187"/>
      <c r="H1328" s="188"/>
      <c r="I1328" s="189"/>
      <c r="J1328" s="190"/>
      <c r="K1328" s="190"/>
      <c r="L1328" s="190"/>
      <c r="M1328" s="191"/>
      <c r="N1328" s="172"/>
      <c r="O1328" s="172"/>
      <c r="P1328" s="172"/>
      <c r="Q1328" s="172"/>
    </row>
    <row r="1329" spans="6:17" s="170" customFormat="1" x14ac:dyDescent="0.2">
      <c r="F1329" s="187"/>
      <c r="G1329" s="187"/>
      <c r="H1329" s="188"/>
      <c r="I1329" s="189"/>
      <c r="J1329" s="190"/>
      <c r="K1329" s="190"/>
      <c r="L1329" s="190"/>
      <c r="M1329" s="191"/>
      <c r="N1329" s="172"/>
      <c r="O1329" s="172"/>
      <c r="P1329" s="172"/>
      <c r="Q1329" s="172"/>
    </row>
    <row r="1330" spans="6:17" s="170" customFormat="1" x14ac:dyDescent="0.2">
      <c r="F1330" s="187"/>
      <c r="G1330" s="187"/>
      <c r="H1330" s="188"/>
      <c r="I1330" s="189"/>
      <c r="J1330" s="190"/>
      <c r="K1330" s="190"/>
      <c r="L1330" s="190"/>
      <c r="M1330" s="191"/>
      <c r="N1330" s="172"/>
      <c r="O1330" s="172"/>
      <c r="P1330" s="172"/>
      <c r="Q1330" s="172"/>
    </row>
    <row r="1331" spans="6:17" s="170" customFormat="1" x14ac:dyDescent="0.2">
      <c r="F1331" s="187"/>
      <c r="G1331" s="187"/>
      <c r="H1331" s="188"/>
      <c r="I1331" s="189"/>
      <c r="J1331" s="190"/>
      <c r="K1331" s="190"/>
      <c r="L1331" s="190"/>
      <c r="M1331" s="191"/>
      <c r="N1331" s="172"/>
      <c r="O1331" s="172"/>
      <c r="P1331" s="172"/>
      <c r="Q1331" s="172"/>
    </row>
    <row r="1332" spans="6:17" s="170" customFormat="1" x14ac:dyDescent="0.2">
      <c r="F1332" s="187"/>
      <c r="G1332" s="187"/>
      <c r="H1332" s="188"/>
      <c r="I1332" s="189"/>
      <c r="J1332" s="190"/>
      <c r="K1332" s="190"/>
      <c r="L1332" s="190"/>
      <c r="M1332" s="191"/>
      <c r="N1332" s="172"/>
      <c r="O1332" s="172"/>
      <c r="P1332" s="172"/>
      <c r="Q1332" s="172"/>
    </row>
    <row r="1333" spans="6:17" s="170" customFormat="1" x14ac:dyDescent="0.2">
      <c r="F1333" s="187"/>
      <c r="G1333" s="187"/>
      <c r="H1333" s="188"/>
      <c r="I1333" s="189"/>
      <c r="J1333" s="190"/>
      <c r="K1333" s="190"/>
      <c r="L1333" s="190"/>
      <c r="M1333" s="191"/>
      <c r="N1333" s="172"/>
      <c r="O1333" s="172"/>
      <c r="P1333" s="172"/>
      <c r="Q1333" s="172"/>
    </row>
    <row r="1334" spans="6:17" s="170" customFormat="1" x14ac:dyDescent="0.2">
      <c r="F1334" s="187"/>
      <c r="G1334" s="187"/>
      <c r="H1334" s="188"/>
      <c r="I1334" s="189"/>
      <c r="J1334" s="190"/>
      <c r="K1334" s="190"/>
      <c r="L1334" s="190"/>
      <c r="M1334" s="191"/>
      <c r="N1334" s="172"/>
      <c r="O1334" s="172"/>
      <c r="P1334" s="172"/>
      <c r="Q1334" s="172"/>
    </row>
    <row r="1335" spans="6:17" s="170" customFormat="1" x14ac:dyDescent="0.2">
      <c r="F1335" s="187"/>
      <c r="G1335" s="187"/>
      <c r="H1335" s="188"/>
      <c r="I1335" s="189"/>
      <c r="J1335" s="190"/>
      <c r="K1335" s="190"/>
      <c r="L1335" s="190"/>
      <c r="M1335" s="191"/>
      <c r="N1335" s="172"/>
      <c r="O1335" s="172"/>
      <c r="P1335" s="172"/>
      <c r="Q1335" s="172"/>
    </row>
    <row r="1336" spans="6:17" s="170" customFormat="1" x14ac:dyDescent="0.2">
      <c r="F1336" s="187"/>
      <c r="G1336" s="187"/>
      <c r="H1336" s="188"/>
      <c r="I1336" s="189"/>
      <c r="J1336" s="190"/>
      <c r="K1336" s="190"/>
      <c r="L1336" s="190"/>
      <c r="M1336" s="191"/>
      <c r="N1336" s="172"/>
      <c r="O1336" s="172"/>
      <c r="P1336" s="172"/>
      <c r="Q1336" s="172"/>
    </row>
    <row r="1337" spans="6:17" s="170" customFormat="1" x14ac:dyDescent="0.2">
      <c r="F1337" s="187"/>
      <c r="G1337" s="187"/>
      <c r="H1337" s="188"/>
      <c r="I1337" s="189"/>
      <c r="J1337" s="190"/>
      <c r="K1337" s="190"/>
      <c r="L1337" s="190"/>
      <c r="M1337" s="191"/>
      <c r="N1337" s="172"/>
      <c r="O1337" s="172"/>
      <c r="P1337" s="172"/>
      <c r="Q1337" s="172"/>
    </row>
    <row r="1338" spans="6:17" s="170" customFormat="1" x14ac:dyDescent="0.2">
      <c r="F1338" s="187"/>
      <c r="G1338" s="187"/>
      <c r="H1338" s="188"/>
      <c r="I1338" s="189"/>
      <c r="J1338" s="190"/>
      <c r="K1338" s="190"/>
      <c r="L1338" s="190"/>
      <c r="M1338" s="191"/>
      <c r="N1338" s="172"/>
      <c r="O1338" s="172"/>
      <c r="P1338" s="172"/>
      <c r="Q1338" s="172"/>
    </row>
    <row r="1339" spans="6:17" s="170" customFormat="1" x14ac:dyDescent="0.2">
      <c r="F1339" s="187"/>
      <c r="G1339" s="187"/>
      <c r="H1339" s="188"/>
      <c r="I1339" s="189"/>
      <c r="J1339" s="190"/>
      <c r="K1339" s="190"/>
      <c r="L1339" s="190"/>
      <c r="M1339" s="191"/>
      <c r="N1339" s="172"/>
      <c r="O1339" s="172"/>
      <c r="P1339" s="172"/>
      <c r="Q1339" s="172"/>
    </row>
    <row r="1340" spans="6:17" s="170" customFormat="1" x14ac:dyDescent="0.2">
      <c r="F1340" s="187"/>
      <c r="G1340" s="187"/>
      <c r="H1340" s="188"/>
      <c r="I1340" s="189"/>
      <c r="J1340" s="190"/>
      <c r="K1340" s="190"/>
      <c r="L1340" s="190"/>
      <c r="M1340" s="191"/>
      <c r="N1340" s="172"/>
      <c r="O1340" s="172"/>
      <c r="P1340" s="172"/>
      <c r="Q1340" s="172"/>
    </row>
    <row r="1341" spans="6:17" s="170" customFormat="1" x14ac:dyDescent="0.2">
      <c r="F1341" s="187"/>
      <c r="G1341" s="187"/>
      <c r="H1341" s="188"/>
      <c r="I1341" s="189"/>
      <c r="J1341" s="190"/>
      <c r="K1341" s="190"/>
      <c r="L1341" s="190"/>
      <c r="M1341" s="191"/>
      <c r="N1341" s="172"/>
      <c r="O1341" s="172"/>
      <c r="P1341" s="172"/>
      <c r="Q1341" s="172"/>
    </row>
    <row r="1342" spans="6:17" s="170" customFormat="1" x14ac:dyDescent="0.2">
      <c r="F1342" s="187"/>
      <c r="G1342" s="187"/>
      <c r="H1342" s="188"/>
      <c r="I1342" s="189"/>
      <c r="J1342" s="190"/>
      <c r="K1342" s="190"/>
      <c r="L1342" s="190"/>
      <c r="M1342" s="191"/>
      <c r="N1342" s="172"/>
      <c r="O1342" s="172"/>
      <c r="P1342" s="172"/>
      <c r="Q1342" s="172"/>
    </row>
    <row r="1343" spans="6:17" s="170" customFormat="1" x14ac:dyDescent="0.2">
      <c r="F1343" s="187"/>
      <c r="G1343" s="187"/>
      <c r="H1343" s="188"/>
      <c r="I1343" s="189"/>
      <c r="J1343" s="190"/>
      <c r="K1343" s="190"/>
      <c r="L1343" s="190"/>
      <c r="M1343" s="191"/>
      <c r="N1343" s="172"/>
      <c r="O1343" s="172"/>
      <c r="P1343" s="172"/>
      <c r="Q1343" s="172"/>
    </row>
    <row r="1344" spans="6:17" s="170" customFormat="1" x14ac:dyDescent="0.2">
      <c r="F1344" s="187"/>
      <c r="G1344" s="187"/>
      <c r="H1344" s="188"/>
      <c r="I1344" s="189"/>
      <c r="J1344" s="190"/>
      <c r="K1344" s="190"/>
      <c r="L1344" s="190"/>
      <c r="M1344" s="191"/>
      <c r="N1344" s="172"/>
      <c r="O1344" s="172"/>
      <c r="P1344" s="172"/>
      <c r="Q1344" s="172"/>
    </row>
    <row r="1345" spans="6:17" s="170" customFormat="1" x14ac:dyDescent="0.2">
      <c r="F1345" s="187"/>
      <c r="G1345" s="187"/>
      <c r="H1345" s="188"/>
      <c r="I1345" s="189"/>
      <c r="J1345" s="190"/>
      <c r="K1345" s="190"/>
      <c r="L1345" s="190"/>
      <c r="M1345" s="191"/>
      <c r="N1345" s="172"/>
      <c r="O1345" s="172"/>
      <c r="P1345" s="172"/>
      <c r="Q1345" s="172"/>
    </row>
    <row r="1346" spans="6:17" s="170" customFormat="1" x14ac:dyDescent="0.2">
      <c r="F1346" s="187"/>
      <c r="G1346" s="187"/>
      <c r="H1346" s="188"/>
      <c r="I1346" s="189"/>
      <c r="J1346" s="190"/>
      <c r="K1346" s="190"/>
      <c r="L1346" s="190"/>
      <c r="M1346" s="191"/>
      <c r="N1346" s="172"/>
      <c r="O1346" s="172"/>
      <c r="P1346" s="172"/>
      <c r="Q1346" s="172"/>
    </row>
    <row r="1347" spans="6:17" s="170" customFormat="1" x14ac:dyDescent="0.2">
      <c r="F1347" s="187"/>
      <c r="G1347" s="187"/>
      <c r="H1347" s="188"/>
      <c r="I1347" s="189"/>
      <c r="J1347" s="190"/>
      <c r="K1347" s="190"/>
      <c r="L1347" s="190"/>
      <c r="M1347" s="191"/>
      <c r="N1347" s="172"/>
      <c r="O1347" s="172"/>
      <c r="P1347" s="172"/>
      <c r="Q1347" s="172"/>
    </row>
    <row r="1348" spans="6:17" s="170" customFormat="1" x14ac:dyDescent="0.2">
      <c r="F1348" s="187"/>
      <c r="G1348" s="187"/>
      <c r="H1348" s="188"/>
      <c r="I1348" s="189"/>
      <c r="J1348" s="190"/>
      <c r="K1348" s="190"/>
      <c r="L1348" s="190"/>
      <c r="M1348" s="191"/>
      <c r="N1348" s="172"/>
      <c r="O1348" s="172"/>
      <c r="P1348" s="172"/>
      <c r="Q1348" s="172"/>
    </row>
    <row r="1349" spans="6:17" s="170" customFormat="1" x14ac:dyDescent="0.2">
      <c r="F1349" s="187"/>
      <c r="G1349" s="187"/>
      <c r="H1349" s="188"/>
      <c r="I1349" s="189"/>
      <c r="J1349" s="190"/>
      <c r="K1349" s="190"/>
      <c r="L1349" s="190"/>
      <c r="M1349" s="191"/>
      <c r="N1349" s="172"/>
      <c r="O1349" s="172"/>
      <c r="P1349" s="172"/>
      <c r="Q1349" s="172"/>
    </row>
    <row r="1350" spans="6:17" s="170" customFormat="1" x14ac:dyDescent="0.2">
      <c r="F1350" s="187"/>
      <c r="G1350" s="187"/>
      <c r="H1350" s="188"/>
      <c r="I1350" s="189"/>
      <c r="J1350" s="190"/>
      <c r="K1350" s="190"/>
      <c r="L1350" s="190"/>
      <c r="M1350" s="191"/>
      <c r="N1350" s="172"/>
      <c r="O1350" s="172"/>
      <c r="P1350" s="172"/>
      <c r="Q1350" s="172"/>
    </row>
    <row r="1351" spans="6:17" s="170" customFormat="1" x14ac:dyDescent="0.2">
      <c r="F1351" s="187"/>
      <c r="G1351" s="187"/>
      <c r="H1351" s="188"/>
      <c r="I1351" s="189"/>
      <c r="J1351" s="190"/>
      <c r="K1351" s="190"/>
      <c r="L1351" s="190"/>
      <c r="M1351" s="191"/>
      <c r="N1351" s="172"/>
      <c r="O1351" s="172"/>
      <c r="P1351" s="172"/>
      <c r="Q1351" s="172"/>
    </row>
    <row r="1352" spans="6:17" s="170" customFormat="1" x14ac:dyDescent="0.2">
      <c r="F1352" s="187"/>
      <c r="G1352" s="187"/>
      <c r="H1352" s="188"/>
      <c r="I1352" s="189"/>
      <c r="J1352" s="190"/>
      <c r="K1352" s="190"/>
      <c r="L1352" s="190"/>
      <c r="M1352" s="191"/>
      <c r="N1352" s="172"/>
      <c r="O1352" s="172"/>
      <c r="P1352" s="172"/>
      <c r="Q1352" s="172"/>
    </row>
    <row r="1353" spans="6:17" s="170" customFormat="1" x14ac:dyDescent="0.2">
      <c r="F1353" s="187"/>
      <c r="G1353" s="187"/>
      <c r="H1353" s="188"/>
      <c r="I1353" s="189"/>
      <c r="J1353" s="190"/>
      <c r="K1353" s="190"/>
      <c r="L1353" s="190"/>
      <c r="M1353" s="191"/>
      <c r="N1353" s="172"/>
      <c r="O1353" s="172"/>
      <c r="P1353" s="172"/>
      <c r="Q1353" s="172"/>
    </row>
    <row r="1354" spans="6:17" s="170" customFormat="1" x14ac:dyDescent="0.2">
      <c r="F1354" s="187"/>
      <c r="G1354" s="187"/>
      <c r="H1354" s="188"/>
      <c r="I1354" s="189"/>
      <c r="J1354" s="190"/>
      <c r="K1354" s="190"/>
      <c r="L1354" s="190"/>
      <c r="M1354" s="191"/>
      <c r="N1354" s="172"/>
      <c r="O1354" s="172"/>
      <c r="P1354" s="172"/>
      <c r="Q1354" s="172"/>
    </row>
    <row r="1355" spans="6:17" s="170" customFormat="1" x14ac:dyDescent="0.2">
      <c r="F1355" s="187"/>
      <c r="G1355" s="187"/>
      <c r="H1355" s="188"/>
      <c r="I1355" s="189"/>
      <c r="J1355" s="190"/>
      <c r="K1355" s="190"/>
      <c r="L1355" s="190"/>
      <c r="M1355" s="191"/>
      <c r="N1355" s="172"/>
      <c r="O1355" s="172"/>
      <c r="P1355" s="172"/>
      <c r="Q1355" s="172"/>
    </row>
    <row r="1356" spans="6:17" s="170" customFormat="1" x14ac:dyDescent="0.2">
      <c r="F1356" s="187"/>
      <c r="G1356" s="187"/>
      <c r="H1356" s="188"/>
      <c r="I1356" s="189"/>
      <c r="J1356" s="190"/>
      <c r="K1356" s="190"/>
      <c r="L1356" s="190"/>
      <c r="M1356" s="191"/>
      <c r="N1356" s="172"/>
      <c r="O1356" s="172"/>
      <c r="P1356" s="172"/>
      <c r="Q1356" s="172"/>
    </row>
    <row r="1357" spans="6:17" s="170" customFormat="1" x14ac:dyDescent="0.2">
      <c r="F1357" s="187"/>
      <c r="G1357" s="187"/>
      <c r="H1357" s="188"/>
      <c r="I1357" s="189"/>
      <c r="J1357" s="190"/>
      <c r="K1357" s="190"/>
      <c r="L1357" s="190"/>
      <c r="M1357" s="191"/>
      <c r="N1357" s="172"/>
      <c r="O1357" s="172"/>
      <c r="P1357" s="172"/>
      <c r="Q1357" s="172"/>
    </row>
    <row r="1358" spans="6:17" s="170" customFormat="1" x14ac:dyDescent="0.2">
      <c r="F1358" s="187"/>
      <c r="G1358" s="187"/>
      <c r="H1358" s="188"/>
      <c r="I1358" s="189"/>
      <c r="J1358" s="190"/>
      <c r="K1358" s="190"/>
      <c r="L1358" s="190"/>
      <c r="M1358" s="191"/>
      <c r="N1358" s="172"/>
      <c r="O1358" s="172"/>
      <c r="P1358" s="172"/>
      <c r="Q1358" s="172"/>
    </row>
    <row r="1359" spans="6:17" s="170" customFormat="1" x14ac:dyDescent="0.2">
      <c r="F1359" s="187"/>
      <c r="G1359" s="187"/>
      <c r="H1359" s="188"/>
      <c r="I1359" s="189"/>
      <c r="J1359" s="190"/>
      <c r="K1359" s="190"/>
      <c r="L1359" s="190"/>
      <c r="M1359" s="191"/>
      <c r="N1359" s="172"/>
      <c r="O1359" s="172"/>
      <c r="P1359" s="172"/>
      <c r="Q1359" s="172"/>
    </row>
    <row r="1360" spans="6:17" s="170" customFormat="1" x14ac:dyDescent="0.2">
      <c r="F1360" s="187"/>
      <c r="G1360" s="187"/>
      <c r="H1360" s="188"/>
      <c r="I1360" s="189"/>
      <c r="J1360" s="190"/>
      <c r="K1360" s="190"/>
      <c r="L1360" s="190"/>
      <c r="M1360" s="191"/>
      <c r="N1360" s="172"/>
      <c r="O1360" s="172"/>
      <c r="P1360" s="172"/>
      <c r="Q1360" s="172"/>
    </row>
    <row r="1361" spans="6:17" s="170" customFormat="1" x14ac:dyDescent="0.2">
      <c r="F1361" s="187"/>
      <c r="G1361" s="187"/>
      <c r="H1361" s="188"/>
      <c r="I1361" s="189"/>
      <c r="J1361" s="190"/>
      <c r="K1361" s="190"/>
      <c r="L1361" s="190"/>
      <c r="M1361" s="191"/>
      <c r="N1361" s="172"/>
      <c r="O1361" s="172"/>
      <c r="P1361" s="172"/>
      <c r="Q1361" s="172"/>
    </row>
    <row r="1362" spans="6:17" s="170" customFormat="1" x14ac:dyDescent="0.2">
      <c r="F1362" s="187"/>
      <c r="G1362" s="187"/>
      <c r="H1362" s="188"/>
      <c r="I1362" s="189"/>
      <c r="J1362" s="190"/>
      <c r="K1362" s="190"/>
      <c r="L1362" s="190"/>
      <c r="M1362" s="191"/>
      <c r="N1362" s="172"/>
      <c r="O1362" s="172"/>
      <c r="P1362" s="172"/>
      <c r="Q1362" s="172"/>
    </row>
    <row r="1363" spans="6:17" s="170" customFormat="1" x14ac:dyDescent="0.2">
      <c r="F1363" s="187"/>
      <c r="G1363" s="187"/>
      <c r="H1363" s="188"/>
      <c r="I1363" s="189"/>
      <c r="J1363" s="190"/>
      <c r="K1363" s="190"/>
      <c r="L1363" s="190"/>
      <c r="M1363" s="191"/>
      <c r="N1363" s="172"/>
      <c r="O1363" s="172"/>
      <c r="P1363" s="172"/>
      <c r="Q1363" s="172"/>
    </row>
    <row r="1364" spans="6:17" s="170" customFormat="1" x14ac:dyDescent="0.2">
      <c r="F1364" s="187"/>
      <c r="G1364" s="187"/>
      <c r="H1364" s="188"/>
      <c r="I1364" s="189"/>
      <c r="J1364" s="190"/>
      <c r="K1364" s="190"/>
      <c r="L1364" s="190"/>
      <c r="M1364" s="191"/>
      <c r="N1364" s="172"/>
      <c r="O1364" s="172"/>
      <c r="P1364" s="172"/>
      <c r="Q1364" s="172"/>
    </row>
    <row r="1365" spans="6:17" s="170" customFormat="1" x14ac:dyDescent="0.2">
      <c r="F1365" s="187"/>
      <c r="G1365" s="187"/>
      <c r="H1365" s="188"/>
      <c r="I1365" s="189"/>
      <c r="J1365" s="190"/>
      <c r="K1365" s="190"/>
      <c r="L1365" s="190"/>
      <c r="M1365" s="191"/>
      <c r="N1365" s="172"/>
      <c r="O1365" s="172"/>
      <c r="P1365" s="172"/>
      <c r="Q1365" s="172"/>
    </row>
    <row r="1366" spans="6:17" s="170" customFormat="1" x14ac:dyDescent="0.2">
      <c r="F1366" s="187"/>
      <c r="G1366" s="187"/>
      <c r="H1366" s="188"/>
      <c r="I1366" s="189"/>
      <c r="J1366" s="190"/>
      <c r="K1366" s="190"/>
      <c r="L1366" s="190"/>
      <c r="M1366" s="191"/>
      <c r="N1366" s="172"/>
      <c r="O1366" s="172"/>
      <c r="P1366" s="172"/>
      <c r="Q1366" s="172"/>
    </row>
    <row r="1367" spans="6:17" s="170" customFormat="1" x14ac:dyDescent="0.2">
      <c r="F1367" s="187"/>
      <c r="G1367" s="187"/>
      <c r="H1367" s="188"/>
      <c r="I1367" s="189"/>
      <c r="J1367" s="190"/>
      <c r="K1367" s="190"/>
      <c r="L1367" s="190"/>
      <c r="M1367" s="191"/>
      <c r="N1367" s="172"/>
      <c r="O1367" s="172"/>
      <c r="P1367" s="172"/>
      <c r="Q1367" s="172"/>
    </row>
    <row r="1368" spans="6:17" s="170" customFormat="1" x14ac:dyDescent="0.2">
      <c r="F1368" s="187"/>
      <c r="G1368" s="187"/>
      <c r="H1368" s="188"/>
      <c r="I1368" s="189"/>
      <c r="J1368" s="190"/>
      <c r="K1368" s="190"/>
      <c r="L1368" s="190"/>
      <c r="M1368" s="191"/>
      <c r="N1368" s="172"/>
      <c r="O1368" s="172"/>
      <c r="P1368" s="172"/>
      <c r="Q1368" s="172"/>
    </row>
    <row r="1369" spans="6:17" s="170" customFormat="1" x14ac:dyDescent="0.2">
      <c r="F1369" s="187"/>
      <c r="G1369" s="187"/>
      <c r="H1369" s="188"/>
      <c r="I1369" s="189"/>
      <c r="J1369" s="190"/>
      <c r="K1369" s="190"/>
      <c r="L1369" s="190"/>
      <c r="M1369" s="191"/>
      <c r="N1369" s="172"/>
      <c r="O1369" s="172"/>
      <c r="P1369" s="172"/>
      <c r="Q1369" s="172"/>
    </row>
    <row r="1370" spans="6:17" s="170" customFormat="1" x14ac:dyDescent="0.2">
      <c r="F1370" s="187"/>
      <c r="G1370" s="187"/>
      <c r="H1370" s="188"/>
      <c r="I1370" s="189"/>
      <c r="J1370" s="190"/>
      <c r="K1370" s="190"/>
      <c r="L1370" s="190"/>
      <c r="M1370" s="191"/>
      <c r="N1370" s="172"/>
      <c r="O1370" s="172"/>
      <c r="P1370" s="172"/>
      <c r="Q1370" s="172"/>
    </row>
    <row r="1371" spans="6:17" s="170" customFormat="1" x14ac:dyDescent="0.2">
      <c r="F1371" s="187"/>
      <c r="G1371" s="187"/>
      <c r="H1371" s="188"/>
      <c r="I1371" s="189"/>
      <c r="J1371" s="190"/>
      <c r="K1371" s="190"/>
      <c r="L1371" s="190"/>
      <c r="M1371" s="191"/>
      <c r="N1371" s="172"/>
      <c r="O1371" s="172"/>
      <c r="P1371" s="172"/>
      <c r="Q1371" s="172"/>
    </row>
    <row r="1372" spans="6:17" s="170" customFormat="1" x14ac:dyDescent="0.2">
      <c r="F1372" s="187"/>
      <c r="G1372" s="187"/>
      <c r="H1372" s="188"/>
      <c r="I1372" s="189"/>
      <c r="J1372" s="190"/>
      <c r="K1372" s="190"/>
      <c r="L1372" s="190"/>
      <c r="M1372" s="191"/>
      <c r="N1372" s="172"/>
      <c r="O1372" s="172"/>
      <c r="P1372" s="172"/>
      <c r="Q1372" s="172"/>
    </row>
    <row r="1373" spans="6:17" s="170" customFormat="1" x14ac:dyDescent="0.2">
      <c r="F1373" s="187"/>
      <c r="G1373" s="187"/>
      <c r="H1373" s="188"/>
      <c r="I1373" s="189"/>
      <c r="J1373" s="190"/>
      <c r="K1373" s="190"/>
      <c r="L1373" s="190"/>
      <c r="M1373" s="191"/>
      <c r="N1373" s="172"/>
      <c r="O1373" s="172"/>
      <c r="P1373" s="172"/>
      <c r="Q1373" s="172"/>
    </row>
    <row r="1374" spans="6:17" s="170" customFormat="1" x14ac:dyDescent="0.2">
      <c r="F1374" s="187"/>
      <c r="G1374" s="187"/>
      <c r="H1374" s="188"/>
      <c r="I1374" s="189"/>
      <c r="J1374" s="190"/>
      <c r="K1374" s="190"/>
      <c r="L1374" s="190"/>
      <c r="M1374" s="191"/>
      <c r="N1374" s="172"/>
      <c r="O1374" s="172"/>
      <c r="P1374" s="172"/>
      <c r="Q1374" s="172"/>
    </row>
    <row r="1375" spans="6:17" s="170" customFormat="1" x14ac:dyDescent="0.2">
      <c r="F1375" s="187"/>
      <c r="G1375" s="187"/>
      <c r="H1375" s="188"/>
      <c r="I1375" s="189"/>
      <c r="J1375" s="190"/>
      <c r="K1375" s="190"/>
      <c r="L1375" s="190"/>
      <c r="M1375" s="191"/>
      <c r="N1375" s="172"/>
      <c r="O1375" s="172"/>
      <c r="P1375" s="172"/>
      <c r="Q1375" s="172"/>
    </row>
    <row r="1376" spans="6:17" s="170" customFormat="1" x14ac:dyDescent="0.2">
      <c r="F1376" s="187"/>
      <c r="G1376" s="187"/>
      <c r="H1376" s="188"/>
      <c r="I1376" s="189"/>
      <c r="J1376" s="190"/>
      <c r="K1376" s="190"/>
      <c r="L1376" s="190"/>
      <c r="M1376" s="191"/>
      <c r="N1376" s="172"/>
      <c r="O1376" s="172"/>
      <c r="P1376" s="172"/>
      <c r="Q1376" s="172"/>
    </row>
    <row r="1377" spans="6:17" s="170" customFormat="1" x14ac:dyDescent="0.2">
      <c r="F1377" s="187"/>
      <c r="G1377" s="187"/>
      <c r="H1377" s="188"/>
      <c r="I1377" s="189"/>
      <c r="J1377" s="190"/>
      <c r="K1377" s="190"/>
      <c r="L1377" s="190"/>
      <c r="M1377" s="191"/>
      <c r="N1377" s="172"/>
      <c r="O1377" s="172"/>
      <c r="P1377" s="172"/>
      <c r="Q1377" s="172"/>
    </row>
    <row r="1378" spans="6:17" s="170" customFormat="1" x14ac:dyDescent="0.2">
      <c r="F1378" s="187"/>
      <c r="G1378" s="187"/>
      <c r="H1378" s="188"/>
      <c r="I1378" s="189"/>
      <c r="J1378" s="190"/>
      <c r="K1378" s="190"/>
      <c r="L1378" s="190"/>
      <c r="M1378" s="191"/>
      <c r="N1378" s="172"/>
      <c r="O1378" s="172"/>
      <c r="P1378" s="172"/>
      <c r="Q1378" s="172"/>
    </row>
    <row r="1379" spans="6:17" s="170" customFormat="1" x14ac:dyDescent="0.2">
      <c r="F1379" s="187"/>
      <c r="G1379" s="187"/>
      <c r="H1379" s="188"/>
      <c r="I1379" s="189"/>
      <c r="J1379" s="190"/>
      <c r="K1379" s="190"/>
      <c r="L1379" s="190"/>
      <c r="M1379" s="191"/>
      <c r="N1379" s="172"/>
      <c r="O1379" s="172"/>
      <c r="P1379" s="172"/>
      <c r="Q1379" s="172"/>
    </row>
    <row r="1380" spans="6:17" s="170" customFormat="1" x14ac:dyDescent="0.2">
      <c r="F1380" s="187"/>
      <c r="G1380" s="187"/>
      <c r="H1380" s="188"/>
      <c r="I1380" s="189"/>
      <c r="J1380" s="190"/>
      <c r="K1380" s="190"/>
      <c r="L1380" s="190"/>
      <c r="M1380" s="191"/>
      <c r="N1380" s="172"/>
      <c r="O1380" s="172"/>
      <c r="P1380" s="172"/>
      <c r="Q1380" s="172"/>
    </row>
    <row r="1381" spans="6:17" s="170" customFormat="1" x14ac:dyDescent="0.2">
      <c r="F1381" s="187"/>
      <c r="G1381" s="187"/>
      <c r="H1381" s="188"/>
      <c r="I1381" s="189"/>
      <c r="J1381" s="190"/>
      <c r="K1381" s="190"/>
      <c r="L1381" s="190"/>
      <c r="M1381" s="191"/>
      <c r="N1381" s="172"/>
      <c r="O1381" s="172"/>
      <c r="P1381" s="172"/>
      <c r="Q1381" s="172"/>
    </row>
    <row r="1382" spans="6:17" s="170" customFormat="1" x14ac:dyDescent="0.2">
      <c r="F1382" s="187"/>
      <c r="G1382" s="187"/>
      <c r="H1382" s="188"/>
      <c r="I1382" s="189"/>
      <c r="J1382" s="190"/>
      <c r="K1382" s="190"/>
      <c r="L1382" s="190"/>
      <c r="M1382" s="191"/>
      <c r="N1382" s="172"/>
      <c r="O1382" s="172"/>
      <c r="P1382" s="172"/>
      <c r="Q1382" s="172"/>
    </row>
    <row r="1383" spans="6:17" s="170" customFormat="1" x14ac:dyDescent="0.2">
      <c r="F1383" s="187"/>
      <c r="G1383" s="187"/>
      <c r="H1383" s="188"/>
      <c r="I1383" s="189"/>
      <c r="J1383" s="190"/>
      <c r="K1383" s="190"/>
      <c r="L1383" s="190"/>
      <c r="M1383" s="191"/>
      <c r="N1383" s="172"/>
      <c r="O1383" s="172"/>
      <c r="P1383" s="172"/>
      <c r="Q1383" s="172"/>
    </row>
    <row r="1384" spans="6:17" s="170" customFormat="1" x14ac:dyDescent="0.2">
      <c r="F1384" s="187"/>
      <c r="G1384" s="187"/>
      <c r="H1384" s="188"/>
      <c r="I1384" s="189"/>
      <c r="J1384" s="190"/>
      <c r="K1384" s="190"/>
      <c r="L1384" s="190"/>
      <c r="M1384" s="191"/>
      <c r="N1384" s="172"/>
      <c r="O1384" s="172"/>
      <c r="P1384" s="172"/>
      <c r="Q1384" s="172"/>
    </row>
    <row r="1385" spans="6:17" s="170" customFormat="1" x14ac:dyDescent="0.2">
      <c r="F1385" s="187"/>
      <c r="G1385" s="187"/>
      <c r="H1385" s="188"/>
      <c r="I1385" s="189"/>
      <c r="J1385" s="190"/>
      <c r="K1385" s="190"/>
      <c r="L1385" s="190"/>
      <c r="M1385" s="191"/>
      <c r="N1385" s="172"/>
      <c r="O1385" s="172"/>
      <c r="P1385" s="172"/>
      <c r="Q1385" s="172"/>
    </row>
    <row r="1386" spans="6:17" s="170" customFormat="1" x14ac:dyDescent="0.2">
      <c r="F1386" s="187"/>
      <c r="G1386" s="187"/>
      <c r="H1386" s="188"/>
      <c r="I1386" s="189"/>
      <c r="J1386" s="190"/>
      <c r="K1386" s="190"/>
      <c r="L1386" s="190"/>
      <c r="M1386" s="191"/>
      <c r="N1386" s="172"/>
      <c r="O1386" s="172"/>
      <c r="P1386" s="172"/>
      <c r="Q1386" s="172"/>
    </row>
    <row r="1387" spans="6:17" s="170" customFormat="1" x14ac:dyDescent="0.2">
      <c r="F1387" s="187"/>
      <c r="G1387" s="187"/>
      <c r="H1387" s="188"/>
      <c r="I1387" s="189"/>
      <c r="J1387" s="190"/>
      <c r="K1387" s="190"/>
      <c r="L1387" s="190"/>
      <c r="M1387" s="191"/>
      <c r="N1387" s="172"/>
      <c r="O1387" s="172"/>
      <c r="P1387" s="172"/>
      <c r="Q1387" s="172"/>
    </row>
    <row r="1388" spans="6:17" s="170" customFormat="1" x14ac:dyDescent="0.2">
      <c r="F1388" s="187"/>
      <c r="G1388" s="187"/>
      <c r="H1388" s="188"/>
      <c r="I1388" s="189"/>
      <c r="J1388" s="190"/>
      <c r="K1388" s="190"/>
      <c r="L1388" s="190"/>
      <c r="M1388" s="191"/>
      <c r="N1388" s="172"/>
      <c r="O1388" s="172"/>
      <c r="P1388" s="172"/>
      <c r="Q1388" s="172"/>
    </row>
    <row r="1389" spans="6:17" s="170" customFormat="1" x14ac:dyDescent="0.2">
      <c r="F1389" s="187"/>
      <c r="G1389" s="187"/>
      <c r="H1389" s="188"/>
      <c r="I1389" s="189"/>
      <c r="J1389" s="190"/>
      <c r="K1389" s="190"/>
      <c r="L1389" s="190"/>
      <c r="M1389" s="191"/>
      <c r="N1389" s="172"/>
      <c r="O1389" s="172"/>
      <c r="P1389" s="172"/>
      <c r="Q1389" s="172"/>
    </row>
    <row r="1390" spans="6:17" s="170" customFormat="1" x14ac:dyDescent="0.2">
      <c r="F1390" s="187"/>
      <c r="G1390" s="187"/>
      <c r="H1390" s="188"/>
      <c r="I1390" s="189"/>
      <c r="J1390" s="190"/>
      <c r="K1390" s="190"/>
      <c r="L1390" s="190"/>
      <c r="M1390" s="191"/>
      <c r="N1390" s="172"/>
      <c r="O1390" s="172"/>
      <c r="P1390" s="172"/>
      <c r="Q1390" s="172"/>
    </row>
    <row r="1391" spans="6:17" s="170" customFormat="1" x14ac:dyDescent="0.2">
      <c r="F1391" s="187"/>
      <c r="G1391" s="187"/>
      <c r="H1391" s="188"/>
      <c r="I1391" s="189"/>
      <c r="J1391" s="190"/>
      <c r="K1391" s="190"/>
      <c r="L1391" s="190"/>
      <c r="M1391" s="191"/>
      <c r="N1391" s="172"/>
      <c r="O1391" s="172"/>
      <c r="P1391" s="172"/>
      <c r="Q1391" s="172"/>
    </row>
    <row r="1392" spans="6:17" s="170" customFormat="1" x14ac:dyDescent="0.2">
      <c r="F1392" s="187"/>
      <c r="G1392" s="187"/>
      <c r="H1392" s="188"/>
      <c r="I1392" s="189"/>
      <c r="J1392" s="190"/>
      <c r="K1392" s="190"/>
      <c r="L1392" s="190"/>
      <c r="M1392" s="191"/>
      <c r="N1392" s="172"/>
      <c r="O1392" s="172"/>
      <c r="P1392" s="172"/>
      <c r="Q1392" s="172"/>
    </row>
    <row r="1393" spans="6:17" s="170" customFormat="1" x14ac:dyDescent="0.2">
      <c r="F1393" s="187"/>
      <c r="G1393" s="187"/>
      <c r="H1393" s="188"/>
      <c r="I1393" s="189"/>
      <c r="J1393" s="190"/>
      <c r="K1393" s="190"/>
      <c r="L1393" s="190"/>
      <c r="M1393" s="191"/>
      <c r="N1393" s="172"/>
      <c r="O1393" s="172"/>
      <c r="P1393" s="172"/>
      <c r="Q1393" s="172"/>
    </row>
    <row r="1394" spans="6:17" s="170" customFormat="1" x14ac:dyDescent="0.2">
      <c r="F1394" s="187"/>
      <c r="G1394" s="187"/>
      <c r="H1394" s="188"/>
      <c r="I1394" s="189"/>
      <c r="J1394" s="190"/>
      <c r="K1394" s="190"/>
      <c r="L1394" s="190"/>
      <c r="M1394" s="191"/>
      <c r="N1394" s="172"/>
      <c r="O1394" s="172"/>
      <c r="P1394" s="172"/>
      <c r="Q1394" s="172"/>
    </row>
    <row r="1395" spans="6:17" s="170" customFormat="1" x14ac:dyDescent="0.2">
      <c r="F1395" s="187"/>
      <c r="G1395" s="187"/>
      <c r="H1395" s="188"/>
      <c r="I1395" s="189"/>
      <c r="J1395" s="190"/>
      <c r="K1395" s="190"/>
      <c r="L1395" s="190"/>
      <c r="M1395" s="191"/>
      <c r="N1395" s="172"/>
      <c r="O1395" s="172"/>
      <c r="P1395" s="172"/>
      <c r="Q1395" s="172"/>
    </row>
    <row r="1396" spans="6:17" s="170" customFormat="1" x14ac:dyDescent="0.2">
      <c r="F1396" s="187"/>
      <c r="G1396" s="187"/>
      <c r="H1396" s="188"/>
      <c r="I1396" s="189"/>
      <c r="J1396" s="190"/>
      <c r="K1396" s="190"/>
      <c r="L1396" s="190"/>
      <c r="M1396" s="191"/>
      <c r="N1396" s="172"/>
      <c r="O1396" s="172"/>
      <c r="P1396" s="172"/>
      <c r="Q1396" s="172"/>
    </row>
    <row r="1397" spans="6:17" s="170" customFormat="1" x14ac:dyDescent="0.2">
      <c r="F1397" s="187"/>
      <c r="G1397" s="187"/>
      <c r="H1397" s="188"/>
      <c r="I1397" s="189"/>
      <c r="J1397" s="190"/>
      <c r="K1397" s="190"/>
      <c r="L1397" s="190"/>
      <c r="M1397" s="191"/>
      <c r="N1397" s="172"/>
      <c r="O1397" s="172"/>
      <c r="P1397" s="172"/>
      <c r="Q1397" s="172"/>
    </row>
    <row r="1398" spans="6:17" s="170" customFormat="1" x14ac:dyDescent="0.2">
      <c r="F1398" s="187"/>
      <c r="G1398" s="187"/>
      <c r="H1398" s="188"/>
      <c r="I1398" s="189"/>
      <c r="J1398" s="190"/>
      <c r="K1398" s="190"/>
      <c r="L1398" s="190"/>
      <c r="M1398" s="191"/>
      <c r="N1398" s="172"/>
      <c r="O1398" s="172"/>
      <c r="P1398" s="172"/>
      <c r="Q1398" s="172"/>
    </row>
    <row r="1399" spans="6:17" s="170" customFormat="1" x14ac:dyDescent="0.2">
      <c r="F1399" s="187"/>
      <c r="G1399" s="187"/>
      <c r="H1399" s="188"/>
      <c r="I1399" s="189"/>
      <c r="J1399" s="190"/>
      <c r="K1399" s="190"/>
      <c r="L1399" s="190"/>
      <c r="M1399" s="191"/>
      <c r="N1399" s="172"/>
      <c r="O1399" s="172"/>
      <c r="P1399" s="172"/>
      <c r="Q1399" s="172"/>
    </row>
    <row r="1400" spans="6:17" s="170" customFormat="1" x14ac:dyDescent="0.2">
      <c r="F1400" s="187"/>
      <c r="G1400" s="187"/>
      <c r="H1400" s="188"/>
      <c r="I1400" s="189"/>
      <c r="J1400" s="190"/>
      <c r="K1400" s="190"/>
      <c r="L1400" s="190"/>
      <c r="M1400" s="191"/>
      <c r="N1400" s="172"/>
      <c r="O1400" s="172"/>
      <c r="P1400" s="172"/>
      <c r="Q1400" s="172"/>
    </row>
    <row r="1401" spans="6:17" s="170" customFormat="1" x14ac:dyDescent="0.2">
      <c r="F1401" s="187"/>
      <c r="G1401" s="187"/>
      <c r="H1401" s="188"/>
      <c r="I1401" s="189"/>
      <c r="J1401" s="190"/>
      <c r="K1401" s="190"/>
      <c r="L1401" s="190"/>
      <c r="M1401" s="191"/>
      <c r="N1401" s="172"/>
      <c r="O1401" s="172"/>
      <c r="P1401" s="172"/>
      <c r="Q1401" s="172"/>
    </row>
    <row r="1402" spans="6:17" s="170" customFormat="1" x14ac:dyDescent="0.2">
      <c r="F1402" s="187"/>
      <c r="G1402" s="187"/>
      <c r="H1402" s="188"/>
      <c r="I1402" s="189"/>
      <c r="J1402" s="190"/>
      <c r="K1402" s="190"/>
      <c r="L1402" s="190"/>
      <c r="M1402" s="191"/>
      <c r="N1402" s="172"/>
      <c r="O1402" s="172"/>
      <c r="P1402" s="172"/>
      <c r="Q1402" s="172"/>
    </row>
    <row r="1403" spans="6:17" s="170" customFormat="1" x14ac:dyDescent="0.2">
      <c r="F1403" s="187"/>
      <c r="G1403" s="187"/>
      <c r="H1403" s="188"/>
      <c r="I1403" s="189"/>
      <c r="J1403" s="190"/>
      <c r="K1403" s="190"/>
      <c r="L1403" s="190"/>
      <c r="M1403" s="191"/>
      <c r="N1403" s="172"/>
      <c r="O1403" s="172"/>
      <c r="P1403" s="172"/>
      <c r="Q1403" s="172"/>
    </row>
    <row r="1404" spans="6:17" s="170" customFormat="1" x14ac:dyDescent="0.2">
      <c r="F1404" s="187"/>
      <c r="G1404" s="187"/>
      <c r="H1404" s="188"/>
      <c r="I1404" s="189"/>
      <c r="J1404" s="190"/>
      <c r="K1404" s="190"/>
      <c r="L1404" s="190"/>
      <c r="M1404" s="191"/>
      <c r="N1404" s="172"/>
      <c r="O1404" s="172"/>
      <c r="P1404" s="172"/>
      <c r="Q1404" s="172"/>
    </row>
    <row r="1405" spans="6:17" s="170" customFormat="1" x14ac:dyDescent="0.2">
      <c r="F1405" s="187"/>
      <c r="G1405" s="187"/>
      <c r="H1405" s="188"/>
      <c r="I1405" s="189"/>
      <c r="J1405" s="190"/>
      <c r="K1405" s="190"/>
      <c r="L1405" s="190"/>
      <c r="M1405" s="191"/>
      <c r="N1405" s="172"/>
      <c r="O1405" s="172"/>
      <c r="P1405" s="172"/>
      <c r="Q1405" s="172"/>
    </row>
    <row r="1406" spans="6:17" s="170" customFormat="1" x14ac:dyDescent="0.2">
      <c r="F1406" s="187"/>
      <c r="G1406" s="187"/>
      <c r="H1406" s="188"/>
      <c r="I1406" s="189"/>
      <c r="J1406" s="190"/>
      <c r="K1406" s="190"/>
      <c r="L1406" s="190"/>
      <c r="M1406" s="191"/>
      <c r="N1406" s="172"/>
      <c r="O1406" s="172"/>
      <c r="P1406" s="172"/>
      <c r="Q1406" s="172"/>
    </row>
    <row r="1407" spans="6:17" s="170" customFormat="1" x14ac:dyDescent="0.2">
      <c r="F1407" s="187"/>
      <c r="G1407" s="187"/>
      <c r="H1407" s="188"/>
      <c r="I1407" s="189"/>
      <c r="J1407" s="190"/>
      <c r="K1407" s="190"/>
      <c r="L1407" s="190"/>
      <c r="M1407" s="191"/>
      <c r="N1407" s="172"/>
      <c r="O1407" s="172"/>
      <c r="P1407" s="172"/>
      <c r="Q1407" s="172"/>
    </row>
    <row r="1408" spans="6:17" s="170" customFormat="1" x14ac:dyDescent="0.2">
      <c r="F1408" s="187"/>
      <c r="G1408" s="187"/>
      <c r="H1408" s="188"/>
      <c r="I1408" s="189"/>
      <c r="J1408" s="190"/>
      <c r="K1408" s="190"/>
      <c r="L1408" s="190"/>
      <c r="M1408" s="191"/>
      <c r="N1408" s="172"/>
      <c r="O1408" s="172"/>
      <c r="P1408" s="172"/>
      <c r="Q1408" s="172"/>
    </row>
    <row r="1409" spans="6:17" s="170" customFormat="1" x14ac:dyDescent="0.2">
      <c r="F1409" s="187"/>
      <c r="G1409" s="187"/>
      <c r="H1409" s="188"/>
      <c r="I1409" s="189"/>
      <c r="J1409" s="190"/>
      <c r="K1409" s="190"/>
      <c r="L1409" s="190"/>
      <c r="M1409" s="191"/>
      <c r="N1409" s="172"/>
      <c r="O1409" s="172"/>
      <c r="P1409" s="172"/>
      <c r="Q1409" s="172"/>
    </row>
    <row r="1410" spans="6:17" s="170" customFormat="1" x14ac:dyDescent="0.2">
      <c r="F1410" s="187"/>
      <c r="G1410" s="187"/>
      <c r="H1410" s="188"/>
      <c r="I1410" s="189"/>
      <c r="J1410" s="190"/>
      <c r="K1410" s="190"/>
      <c r="L1410" s="190"/>
      <c r="M1410" s="191"/>
      <c r="N1410" s="172"/>
      <c r="O1410" s="172"/>
      <c r="P1410" s="172"/>
      <c r="Q1410" s="172"/>
    </row>
    <row r="1411" spans="6:17" s="170" customFormat="1" x14ac:dyDescent="0.2">
      <c r="F1411" s="187"/>
      <c r="G1411" s="187"/>
      <c r="H1411" s="188"/>
      <c r="I1411" s="189"/>
      <c r="J1411" s="190"/>
      <c r="K1411" s="190"/>
      <c r="L1411" s="190"/>
      <c r="M1411" s="191"/>
      <c r="N1411" s="172"/>
      <c r="O1411" s="172"/>
      <c r="P1411" s="172"/>
      <c r="Q1411" s="172"/>
    </row>
    <row r="1412" spans="6:17" s="170" customFormat="1" x14ac:dyDescent="0.2">
      <c r="F1412" s="187"/>
      <c r="G1412" s="187"/>
      <c r="H1412" s="188"/>
      <c r="I1412" s="189"/>
      <c r="J1412" s="190"/>
      <c r="K1412" s="190"/>
      <c r="L1412" s="190"/>
      <c r="M1412" s="191"/>
      <c r="N1412" s="172"/>
      <c r="O1412" s="172"/>
      <c r="P1412" s="172"/>
      <c r="Q1412" s="172"/>
    </row>
    <row r="1413" spans="6:17" s="170" customFormat="1" x14ac:dyDescent="0.2">
      <c r="F1413" s="187"/>
      <c r="G1413" s="187"/>
      <c r="H1413" s="188"/>
      <c r="I1413" s="189"/>
      <c r="J1413" s="190"/>
      <c r="K1413" s="190"/>
      <c r="L1413" s="190"/>
      <c r="M1413" s="191"/>
      <c r="N1413" s="172"/>
      <c r="O1413" s="172"/>
      <c r="P1413" s="172"/>
      <c r="Q1413" s="172"/>
    </row>
    <row r="1414" spans="6:17" s="170" customFormat="1" x14ac:dyDescent="0.2">
      <c r="F1414" s="187"/>
      <c r="G1414" s="187"/>
      <c r="H1414" s="188"/>
      <c r="I1414" s="189"/>
      <c r="J1414" s="190"/>
      <c r="K1414" s="190"/>
      <c r="L1414" s="190"/>
      <c r="M1414" s="191"/>
      <c r="N1414" s="172"/>
      <c r="O1414" s="172"/>
      <c r="P1414" s="172"/>
      <c r="Q1414" s="172"/>
    </row>
    <row r="1415" spans="6:17" s="170" customFormat="1" x14ac:dyDescent="0.2">
      <c r="F1415" s="187"/>
      <c r="G1415" s="187"/>
      <c r="H1415" s="188"/>
      <c r="I1415" s="189"/>
      <c r="J1415" s="190"/>
      <c r="K1415" s="190"/>
      <c r="L1415" s="190"/>
      <c r="M1415" s="191"/>
      <c r="N1415" s="172"/>
      <c r="O1415" s="172"/>
      <c r="P1415" s="172"/>
      <c r="Q1415" s="172"/>
    </row>
    <row r="1416" spans="6:17" s="170" customFormat="1" x14ac:dyDescent="0.2">
      <c r="F1416" s="187"/>
      <c r="G1416" s="187"/>
      <c r="H1416" s="188"/>
      <c r="I1416" s="189"/>
      <c r="J1416" s="190"/>
      <c r="K1416" s="190"/>
      <c r="L1416" s="190"/>
      <c r="M1416" s="191"/>
      <c r="N1416" s="172"/>
      <c r="O1416" s="172"/>
      <c r="P1416" s="172"/>
      <c r="Q1416" s="172"/>
    </row>
    <row r="1417" spans="6:17" s="170" customFormat="1" x14ac:dyDescent="0.2">
      <c r="F1417" s="187"/>
      <c r="G1417" s="187"/>
      <c r="H1417" s="188"/>
      <c r="I1417" s="189"/>
      <c r="J1417" s="190"/>
      <c r="K1417" s="190"/>
      <c r="L1417" s="190"/>
      <c r="M1417" s="191"/>
      <c r="N1417" s="172"/>
      <c r="O1417" s="172"/>
      <c r="P1417" s="172"/>
      <c r="Q1417" s="172"/>
    </row>
    <row r="1418" spans="6:17" s="170" customFormat="1" x14ac:dyDescent="0.2">
      <c r="F1418" s="187"/>
      <c r="G1418" s="187"/>
      <c r="H1418" s="188"/>
      <c r="I1418" s="189"/>
      <c r="J1418" s="190"/>
      <c r="K1418" s="190"/>
      <c r="L1418" s="190"/>
      <c r="M1418" s="191"/>
      <c r="N1418" s="172"/>
      <c r="O1418" s="172"/>
      <c r="P1418" s="172"/>
      <c r="Q1418" s="172"/>
    </row>
    <row r="1419" spans="6:17" s="170" customFormat="1" x14ac:dyDescent="0.2">
      <c r="F1419" s="187"/>
      <c r="G1419" s="187"/>
      <c r="H1419" s="188"/>
      <c r="I1419" s="189"/>
      <c r="J1419" s="190"/>
      <c r="K1419" s="190"/>
      <c r="L1419" s="190"/>
      <c r="M1419" s="191"/>
      <c r="N1419" s="172"/>
      <c r="O1419" s="172"/>
      <c r="P1419" s="172"/>
      <c r="Q1419" s="172"/>
    </row>
    <row r="1420" spans="6:17" s="170" customFormat="1" x14ac:dyDescent="0.2">
      <c r="F1420" s="187"/>
      <c r="G1420" s="187"/>
      <c r="H1420" s="188"/>
      <c r="I1420" s="189"/>
      <c r="J1420" s="190"/>
      <c r="K1420" s="190"/>
      <c r="L1420" s="190"/>
      <c r="M1420" s="191"/>
      <c r="N1420" s="172"/>
      <c r="O1420" s="172"/>
      <c r="P1420" s="172"/>
      <c r="Q1420" s="172"/>
    </row>
    <row r="1421" spans="6:17" s="170" customFormat="1" x14ac:dyDescent="0.2">
      <c r="F1421" s="187"/>
      <c r="G1421" s="187"/>
      <c r="H1421" s="188"/>
      <c r="I1421" s="189"/>
      <c r="J1421" s="190"/>
      <c r="K1421" s="190"/>
      <c r="L1421" s="190"/>
      <c r="M1421" s="191"/>
      <c r="N1421" s="172"/>
      <c r="O1421" s="172"/>
      <c r="P1421" s="172"/>
      <c r="Q1421" s="172"/>
    </row>
    <row r="1422" spans="6:17" s="170" customFormat="1" x14ac:dyDescent="0.2">
      <c r="F1422" s="187"/>
      <c r="G1422" s="187"/>
      <c r="H1422" s="188"/>
      <c r="I1422" s="189"/>
      <c r="J1422" s="190"/>
      <c r="K1422" s="190"/>
      <c r="L1422" s="190"/>
      <c r="M1422" s="191"/>
      <c r="N1422" s="172"/>
      <c r="O1422" s="172"/>
      <c r="P1422" s="172"/>
      <c r="Q1422" s="172"/>
    </row>
    <row r="1423" spans="6:17" s="170" customFormat="1" x14ac:dyDescent="0.2">
      <c r="F1423" s="187"/>
      <c r="G1423" s="187"/>
      <c r="H1423" s="188"/>
      <c r="I1423" s="189"/>
      <c r="J1423" s="190"/>
      <c r="K1423" s="190"/>
      <c r="L1423" s="190"/>
      <c r="M1423" s="191"/>
      <c r="N1423" s="172"/>
      <c r="O1423" s="172"/>
      <c r="P1423" s="172"/>
      <c r="Q1423" s="172"/>
    </row>
    <row r="1424" spans="6:17" s="170" customFormat="1" x14ac:dyDescent="0.2">
      <c r="F1424" s="187"/>
      <c r="G1424" s="187"/>
      <c r="H1424" s="188"/>
      <c r="I1424" s="189"/>
      <c r="J1424" s="190"/>
      <c r="K1424" s="190"/>
      <c r="L1424" s="190"/>
      <c r="M1424" s="191"/>
      <c r="N1424" s="172"/>
      <c r="O1424" s="172"/>
      <c r="P1424" s="172"/>
      <c r="Q1424" s="172"/>
    </row>
    <row r="1425" spans="6:17" s="170" customFormat="1" x14ac:dyDescent="0.2">
      <c r="F1425" s="187"/>
      <c r="G1425" s="187"/>
      <c r="H1425" s="188"/>
      <c r="I1425" s="189"/>
      <c r="J1425" s="190"/>
      <c r="K1425" s="190"/>
      <c r="L1425" s="190"/>
      <c r="M1425" s="191"/>
      <c r="N1425" s="172"/>
      <c r="O1425" s="172"/>
      <c r="P1425" s="172"/>
      <c r="Q1425" s="172"/>
    </row>
    <row r="1426" spans="6:17" s="170" customFormat="1" x14ac:dyDescent="0.2">
      <c r="F1426" s="187"/>
      <c r="G1426" s="187"/>
      <c r="H1426" s="188"/>
      <c r="I1426" s="189"/>
      <c r="J1426" s="190"/>
      <c r="K1426" s="190"/>
      <c r="L1426" s="190"/>
      <c r="M1426" s="191"/>
      <c r="N1426" s="172"/>
      <c r="O1426" s="172"/>
      <c r="P1426" s="172"/>
      <c r="Q1426" s="172"/>
    </row>
    <row r="1427" spans="6:17" s="170" customFormat="1" x14ac:dyDescent="0.2">
      <c r="F1427" s="187"/>
      <c r="G1427" s="187"/>
      <c r="H1427" s="188"/>
      <c r="I1427" s="189"/>
      <c r="J1427" s="190"/>
      <c r="K1427" s="190"/>
      <c r="L1427" s="190"/>
      <c r="M1427" s="191"/>
      <c r="N1427" s="172"/>
      <c r="O1427" s="172"/>
      <c r="P1427" s="172"/>
      <c r="Q1427" s="172"/>
    </row>
    <row r="1428" spans="6:17" s="170" customFormat="1" x14ac:dyDescent="0.2">
      <c r="F1428" s="187"/>
      <c r="G1428" s="187"/>
      <c r="H1428" s="188"/>
      <c r="I1428" s="189"/>
      <c r="J1428" s="190"/>
      <c r="K1428" s="190"/>
      <c r="L1428" s="190"/>
      <c r="M1428" s="191"/>
      <c r="N1428" s="172"/>
      <c r="O1428" s="172"/>
      <c r="P1428" s="172"/>
      <c r="Q1428" s="172"/>
    </row>
    <row r="1429" spans="6:17" s="170" customFormat="1" x14ac:dyDescent="0.2">
      <c r="F1429" s="187"/>
      <c r="G1429" s="187"/>
      <c r="H1429" s="188"/>
      <c r="I1429" s="189"/>
      <c r="J1429" s="190"/>
      <c r="K1429" s="190"/>
      <c r="L1429" s="190"/>
      <c r="M1429" s="191"/>
      <c r="N1429" s="172"/>
      <c r="O1429" s="172"/>
      <c r="P1429" s="172"/>
      <c r="Q1429" s="172"/>
    </row>
    <row r="1430" spans="6:17" s="170" customFormat="1" x14ac:dyDescent="0.2">
      <c r="F1430" s="187"/>
      <c r="G1430" s="187"/>
      <c r="H1430" s="188"/>
      <c r="I1430" s="189"/>
      <c r="J1430" s="190"/>
      <c r="K1430" s="190"/>
      <c r="L1430" s="190"/>
      <c r="M1430" s="191"/>
      <c r="N1430" s="172"/>
      <c r="O1430" s="172"/>
      <c r="P1430" s="172"/>
      <c r="Q1430" s="172"/>
    </row>
    <row r="1431" spans="6:17" s="170" customFormat="1" x14ac:dyDescent="0.2">
      <c r="F1431" s="187"/>
      <c r="G1431" s="187"/>
      <c r="H1431" s="188"/>
      <c r="I1431" s="189"/>
      <c r="J1431" s="190"/>
      <c r="K1431" s="190"/>
      <c r="L1431" s="190"/>
      <c r="M1431" s="191"/>
      <c r="N1431" s="172"/>
      <c r="O1431" s="172"/>
      <c r="P1431" s="172"/>
      <c r="Q1431" s="172"/>
    </row>
    <row r="1432" spans="6:17" s="170" customFormat="1" x14ac:dyDescent="0.2">
      <c r="F1432" s="187"/>
      <c r="G1432" s="187"/>
      <c r="H1432" s="188"/>
      <c r="I1432" s="189"/>
      <c r="J1432" s="190"/>
      <c r="K1432" s="190"/>
      <c r="L1432" s="190"/>
      <c r="M1432" s="191"/>
      <c r="N1432" s="172"/>
      <c r="O1432" s="172"/>
      <c r="P1432" s="172"/>
      <c r="Q1432" s="172"/>
    </row>
    <row r="1433" spans="6:17" s="170" customFormat="1" x14ac:dyDescent="0.2">
      <c r="F1433" s="187"/>
      <c r="G1433" s="187"/>
      <c r="H1433" s="188"/>
      <c r="I1433" s="189"/>
      <c r="J1433" s="190"/>
      <c r="K1433" s="190"/>
      <c r="L1433" s="190"/>
      <c r="M1433" s="191"/>
      <c r="N1433" s="172"/>
      <c r="O1433" s="172"/>
      <c r="P1433" s="172"/>
      <c r="Q1433" s="172"/>
    </row>
    <row r="1434" spans="6:17" s="170" customFormat="1" x14ac:dyDescent="0.2">
      <c r="F1434" s="187"/>
      <c r="G1434" s="187"/>
      <c r="H1434" s="188"/>
      <c r="I1434" s="189"/>
      <c r="J1434" s="190"/>
      <c r="K1434" s="190"/>
      <c r="L1434" s="190"/>
      <c r="M1434" s="191"/>
      <c r="N1434" s="172"/>
      <c r="O1434" s="172"/>
      <c r="P1434" s="172"/>
      <c r="Q1434" s="172"/>
    </row>
    <row r="1435" spans="6:17" s="170" customFormat="1" x14ac:dyDescent="0.2">
      <c r="F1435" s="187"/>
      <c r="G1435" s="187"/>
      <c r="H1435" s="188"/>
      <c r="I1435" s="189"/>
      <c r="J1435" s="190"/>
      <c r="K1435" s="190"/>
      <c r="L1435" s="190"/>
      <c r="M1435" s="191"/>
      <c r="N1435" s="172"/>
      <c r="O1435" s="172"/>
      <c r="P1435" s="172"/>
      <c r="Q1435" s="172"/>
    </row>
    <row r="1436" spans="6:17" s="170" customFormat="1" x14ac:dyDescent="0.2">
      <c r="F1436" s="187"/>
      <c r="G1436" s="187"/>
      <c r="H1436" s="188"/>
      <c r="I1436" s="189"/>
      <c r="J1436" s="190"/>
      <c r="K1436" s="190"/>
      <c r="L1436" s="190"/>
      <c r="M1436" s="191"/>
      <c r="N1436" s="172"/>
      <c r="O1436" s="172"/>
      <c r="P1436" s="172"/>
      <c r="Q1436" s="172"/>
    </row>
    <row r="1437" spans="6:17" s="170" customFormat="1" x14ac:dyDescent="0.2">
      <c r="F1437" s="187"/>
      <c r="G1437" s="187"/>
      <c r="H1437" s="188"/>
      <c r="I1437" s="189"/>
      <c r="J1437" s="190"/>
      <c r="K1437" s="190"/>
      <c r="L1437" s="190"/>
      <c r="M1437" s="191"/>
      <c r="N1437" s="172"/>
      <c r="O1437" s="172"/>
      <c r="P1437" s="172"/>
      <c r="Q1437" s="172"/>
    </row>
    <row r="1438" spans="6:17" s="170" customFormat="1" x14ac:dyDescent="0.2">
      <c r="F1438" s="187"/>
      <c r="G1438" s="187"/>
      <c r="H1438" s="188"/>
      <c r="I1438" s="189"/>
      <c r="J1438" s="190"/>
      <c r="K1438" s="190"/>
      <c r="L1438" s="190"/>
      <c r="M1438" s="191"/>
      <c r="N1438" s="172"/>
      <c r="O1438" s="172"/>
      <c r="P1438" s="172"/>
      <c r="Q1438" s="172"/>
    </row>
    <row r="1439" spans="6:17" s="170" customFormat="1" x14ac:dyDescent="0.2">
      <c r="F1439" s="187"/>
      <c r="G1439" s="187"/>
      <c r="H1439" s="188"/>
      <c r="I1439" s="189"/>
      <c r="J1439" s="190"/>
      <c r="K1439" s="190"/>
      <c r="L1439" s="190"/>
      <c r="M1439" s="191"/>
      <c r="N1439" s="172"/>
      <c r="O1439" s="172"/>
      <c r="P1439" s="172"/>
      <c r="Q1439" s="172"/>
    </row>
    <row r="1440" spans="6:17" s="170" customFormat="1" x14ac:dyDescent="0.2">
      <c r="F1440" s="187"/>
      <c r="G1440" s="187"/>
      <c r="H1440" s="188"/>
      <c r="I1440" s="189"/>
      <c r="J1440" s="190"/>
      <c r="K1440" s="190"/>
      <c r="L1440" s="190"/>
      <c r="M1440" s="191"/>
      <c r="N1440" s="172"/>
      <c r="O1440" s="172"/>
      <c r="P1440" s="172"/>
      <c r="Q1440" s="172"/>
    </row>
    <row r="1441" spans="6:17" s="170" customFormat="1" x14ac:dyDescent="0.2">
      <c r="F1441" s="187"/>
      <c r="G1441" s="187"/>
      <c r="H1441" s="188"/>
      <c r="I1441" s="189"/>
      <c r="J1441" s="190"/>
      <c r="K1441" s="190"/>
      <c r="L1441" s="190"/>
      <c r="M1441" s="191"/>
      <c r="N1441" s="172"/>
      <c r="O1441" s="172"/>
      <c r="P1441" s="172"/>
      <c r="Q1441" s="172"/>
    </row>
    <row r="1442" spans="6:17" s="170" customFormat="1" x14ac:dyDescent="0.2">
      <c r="F1442" s="187"/>
      <c r="G1442" s="187"/>
      <c r="H1442" s="188"/>
      <c r="I1442" s="189"/>
      <c r="J1442" s="190"/>
      <c r="K1442" s="190"/>
      <c r="L1442" s="190"/>
      <c r="M1442" s="191"/>
      <c r="N1442" s="172"/>
      <c r="O1442" s="172"/>
      <c r="P1442" s="172"/>
      <c r="Q1442" s="172"/>
    </row>
    <row r="1443" spans="6:17" s="170" customFormat="1" x14ac:dyDescent="0.2">
      <c r="F1443" s="187"/>
      <c r="G1443" s="187"/>
      <c r="H1443" s="188"/>
      <c r="I1443" s="189"/>
      <c r="J1443" s="190"/>
      <c r="K1443" s="190"/>
      <c r="L1443" s="190"/>
      <c r="M1443" s="191"/>
      <c r="N1443" s="172"/>
      <c r="O1443" s="172"/>
      <c r="P1443" s="172"/>
      <c r="Q1443" s="172"/>
    </row>
    <row r="1444" spans="6:17" s="170" customFormat="1" x14ac:dyDescent="0.2">
      <c r="F1444" s="187"/>
      <c r="G1444" s="187"/>
      <c r="H1444" s="188"/>
      <c r="I1444" s="189"/>
      <c r="J1444" s="190"/>
      <c r="K1444" s="190"/>
      <c r="L1444" s="190"/>
      <c r="M1444" s="191"/>
      <c r="N1444" s="172"/>
      <c r="O1444" s="172"/>
      <c r="P1444" s="172"/>
      <c r="Q1444" s="172"/>
    </row>
    <row r="1445" spans="6:17" s="170" customFormat="1" x14ac:dyDescent="0.2">
      <c r="F1445" s="187"/>
      <c r="G1445" s="187"/>
      <c r="H1445" s="188"/>
      <c r="I1445" s="189"/>
      <c r="J1445" s="190"/>
      <c r="K1445" s="190"/>
      <c r="L1445" s="190"/>
      <c r="M1445" s="191"/>
      <c r="N1445" s="172"/>
      <c r="O1445" s="172"/>
      <c r="P1445" s="172"/>
      <c r="Q1445" s="172"/>
    </row>
    <row r="1446" spans="6:17" s="170" customFormat="1" x14ac:dyDescent="0.2">
      <c r="F1446" s="187"/>
      <c r="G1446" s="187"/>
      <c r="H1446" s="188"/>
      <c r="I1446" s="189"/>
      <c r="J1446" s="190"/>
      <c r="K1446" s="190"/>
      <c r="L1446" s="190"/>
      <c r="M1446" s="191"/>
      <c r="N1446" s="172"/>
      <c r="O1446" s="172"/>
      <c r="P1446" s="172"/>
      <c r="Q1446" s="172"/>
    </row>
    <row r="1447" spans="6:17" s="170" customFormat="1" x14ac:dyDescent="0.2">
      <c r="F1447" s="187"/>
      <c r="G1447" s="187"/>
      <c r="H1447" s="188"/>
      <c r="I1447" s="189"/>
      <c r="J1447" s="190"/>
      <c r="K1447" s="190"/>
      <c r="L1447" s="190"/>
      <c r="M1447" s="191"/>
      <c r="N1447" s="172"/>
      <c r="O1447" s="172"/>
      <c r="P1447" s="172"/>
      <c r="Q1447" s="172"/>
    </row>
    <row r="1448" spans="6:17" s="170" customFormat="1" x14ac:dyDescent="0.2">
      <c r="F1448" s="187"/>
      <c r="G1448" s="187"/>
      <c r="H1448" s="188"/>
      <c r="I1448" s="189"/>
      <c r="J1448" s="190"/>
      <c r="K1448" s="190"/>
      <c r="L1448" s="190"/>
      <c r="M1448" s="191"/>
      <c r="N1448" s="172"/>
      <c r="O1448" s="172"/>
      <c r="P1448" s="172"/>
      <c r="Q1448" s="172"/>
    </row>
    <row r="1449" spans="6:17" s="170" customFormat="1" x14ac:dyDescent="0.2">
      <c r="F1449" s="187"/>
      <c r="G1449" s="187"/>
      <c r="H1449" s="188"/>
      <c r="I1449" s="189"/>
      <c r="J1449" s="190"/>
      <c r="K1449" s="190"/>
      <c r="L1449" s="190"/>
      <c r="M1449" s="191"/>
      <c r="N1449" s="172"/>
      <c r="O1449" s="172"/>
      <c r="P1449" s="172"/>
      <c r="Q1449" s="172"/>
    </row>
    <row r="1450" spans="6:17" s="170" customFormat="1" x14ac:dyDescent="0.2">
      <c r="F1450" s="187"/>
      <c r="G1450" s="187"/>
      <c r="H1450" s="188"/>
      <c r="I1450" s="189"/>
      <c r="J1450" s="190"/>
      <c r="K1450" s="190"/>
      <c r="L1450" s="190"/>
      <c r="M1450" s="191"/>
      <c r="N1450" s="172"/>
      <c r="O1450" s="172"/>
      <c r="P1450" s="172"/>
      <c r="Q1450" s="172"/>
    </row>
    <row r="1451" spans="6:17" s="170" customFormat="1" x14ac:dyDescent="0.2">
      <c r="F1451" s="187"/>
      <c r="G1451" s="187"/>
      <c r="H1451" s="188"/>
      <c r="I1451" s="189"/>
      <c r="J1451" s="190"/>
      <c r="K1451" s="190"/>
      <c r="L1451" s="190"/>
      <c r="M1451" s="191"/>
      <c r="N1451" s="172"/>
      <c r="O1451" s="172"/>
      <c r="P1451" s="172"/>
      <c r="Q1451" s="172"/>
    </row>
    <row r="1452" spans="6:17" s="170" customFormat="1" x14ac:dyDescent="0.2">
      <c r="F1452" s="187"/>
      <c r="G1452" s="187"/>
      <c r="H1452" s="188"/>
      <c r="I1452" s="189"/>
      <c r="J1452" s="190"/>
      <c r="K1452" s="190"/>
      <c r="L1452" s="190"/>
      <c r="M1452" s="191"/>
      <c r="N1452" s="172"/>
      <c r="O1452" s="172"/>
      <c r="P1452" s="172"/>
      <c r="Q1452" s="172"/>
    </row>
    <row r="1453" spans="6:17" s="170" customFormat="1" x14ac:dyDescent="0.2">
      <c r="F1453" s="187"/>
      <c r="G1453" s="187"/>
      <c r="H1453" s="188"/>
      <c r="I1453" s="189"/>
      <c r="J1453" s="190"/>
      <c r="K1453" s="190"/>
      <c r="L1453" s="190"/>
      <c r="M1453" s="191"/>
      <c r="N1453" s="172"/>
      <c r="O1453" s="172"/>
      <c r="P1453" s="172"/>
      <c r="Q1453" s="172"/>
    </row>
    <row r="1454" spans="6:17" s="170" customFormat="1" x14ac:dyDescent="0.2">
      <c r="F1454" s="187"/>
      <c r="G1454" s="187"/>
      <c r="H1454" s="188"/>
      <c r="I1454" s="189"/>
      <c r="J1454" s="190"/>
      <c r="K1454" s="190"/>
      <c r="L1454" s="190"/>
      <c r="M1454" s="191"/>
      <c r="N1454" s="172"/>
      <c r="O1454" s="172"/>
      <c r="P1454" s="172"/>
      <c r="Q1454" s="172"/>
    </row>
    <row r="1455" spans="6:17" s="170" customFormat="1" x14ac:dyDescent="0.2">
      <c r="F1455" s="187"/>
      <c r="G1455" s="187"/>
      <c r="H1455" s="188"/>
      <c r="I1455" s="189"/>
      <c r="J1455" s="190"/>
      <c r="K1455" s="190"/>
      <c r="L1455" s="190"/>
      <c r="M1455" s="191"/>
      <c r="N1455" s="172"/>
      <c r="O1455" s="172"/>
      <c r="P1455" s="172"/>
      <c r="Q1455" s="172"/>
    </row>
    <row r="1456" spans="6:17" s="170" customFormat="1" x14ac:dyDescent="0.2">
      <c r="F1456" s="187"/>
      <c r="G1456" s="187"/>
      <c r="H1456" s="188"/>
      <c r="I1456" s="189"/>
      <c r="J1456" s="190"/>
      <c r="K1456" s="190"/>
      <c r="L1456" s="190"/>
      <c r="M1456" s="191"/>
      <c r="N1456" s="172"/>
      <c r="O1456" s="172"/>
      <c r="P1456" s="172"/>
      <c r="Q1456" s="172"/>
    </row>
    <row r="1457" spans="6:17" s="170" customFormat="1" x14ac:dyDescent="0.2">
      <c r="F1457" s="187"/>
      <c r="G1457" s="187"/>
      <c r="H1457" s="188"/>
      <c r="I1457" s="189"/>
      <c r="J1457" s="190"/>
      <c r="K1457" s="190"/>
      <c r="L1457" s="190"/>
      <c r="M1457" s="191"/>
      <c r="N1457" s="172"/>
      <c r="O1457" s="172"/>
      <c r="P1457" s="172"/>
      <c r="Q1457" s="172"/>
    </row>
    <row r="1458" spans="6:17" s="170" customFormat="1" x14ac:dyDescent="0.2">
      <c r="F1458" s="187"/>
      <c r="G1458" s="187"/>
      <c r="H1458" s="188"/>
      <c r="I1458" s="189"/>
      <c r="J1458" s="190"/>
      <c r="K1458" s="190"/>
      <c r="L1458" s="190"/>
      <c r="M1458" s="191"/>
      <c r="N1458" s="172"/>
      <c r="O1458" s="172"/>
      <c r="P1458" s="172"/>
      <c r="Q1458" s="172"/>
    </row>
    <row r="1459" spans="6:17" s="170" customFormat="1" x14ac:dyDescent="0.2">
      <c r="F1459" s="187"/>
      <c r="G1459" s="187"/>
      <c r="H1459" s="188"/>
      <c r="I1459" s="189"/>
      <c r="J1459" s="190"/>
      <c r="K1459" s="190"/>
      <c r="L1459" s="190"/>
      <c r="M1459" s="191"/>
      <c r="N1459" s="172"/>
      <c r="O1459" s="172"/>
      <c r="P1459" s="172"/>
      <c r="Q1459" s="172"/>
    </row>
    <row r="1460" spans="6:17" s="170" customFormat="1" x14ac:dyDescent="0.2">
      <c r="F1460" s="187"/>
      <c r="G1460" s="187"/>
      <c r="H1460" s="188"/>
      <c r="I1460" s="189"/>
      <c r="J1460" s="190"/>
      <c r="K1460" s="190"/>
      <c r="L1460" s="190"/>
      <c r="M1460" s="191"/>
      <c r="N1460" s="172"/>
      <c r="O1460" s="172"/>
      <c r="P1460" s="172"/>
      <c r="Q1460" s="172"/>
    </row>
    <row r="1461" spans="6:17" s="170" customFormat="1" x14ac:dyDescent="0.2">
      <c r="F1461" s="187"/>
      <c r="G1461" s="187"/>
      <c r="H1461" s="188"/>
      <c r="I1461" s="189"/>
      <c r="J1461" s="190"/>
      <c r="K1461" s="190"/>
      <c r="L1461" s="190"/>
      <c r="M1461" s="191"/>
      <c r="N1461" s="172"/>
      <c r="O1461" s="172"/>
      <c r="P1461" s="172"/>
      <c r="Q1461" s="172"/>
    </row>
    <row r="1462" spans="6:17" s="170" customFormat="1" x14ac:dyDescent="0.2">
      <c r="F1462" s="187"/>
      <c r="G1462" s="187"/>
      <c r="H1462" s="188"/>
      <c r="I1462" s="189"/>
      <c r="J1462" s="190"/>
      <c r="K1462" s="190"/>
      <c r="L1462" s="190"/>
      <c r="M1462" s="191"/>
      <c r="N1462" s="172"/>
      <c r="O1462" s="172"/>
      <c r="P1462" s="172"/>
      <c r="Q1462" s="172"/>
    </row>
    <row r="1463" spans="6:17" s="170" customFormat="1" x14ac:dyDescent="0.2">
      <c r="F1463" s="187"/>
      <c r="G1463" s="187"/>
      <c r="H1463" s="188"/>
      <c r="I1463" s="189"/>
      <c r="J1463" s="190"/>
      <c r="K1463" s="190"/>
      <c r="L1463" s="190"/>
      <c r="M1463" s="191"/>
      <c r="N1463" s="172"/>
      <c r="O1463" s="172"/>
      <c r="P1463" s="172"/>
      <c r="Q1463" s="172"/>
    </row>
    <row r="1464" spans="6:17" s="170" customFormat="1" x14ac:dyDescent="0.2">
      <c r="F1464" s="187"/>
      <c r="G1464" s="187"/>
      <c r="H1464" s="188"/>
      <c r="I1464" s="189"/>
      <c r="J1464" s="190"/>
      <c r="K1464" s="190"/>
      <c r="L1464" s="190"/>
      <c r="M1464" s="191"/>
      <c r="N1464" s="172"/>
      <c r="O1464" s="172"/>
      <c r="P1464" s="172"/>
      <c r="Q1464" s="172"/>
    </row>
    <row r="1465" spans="6:17" s="170" customFormat="1" x14ac:dyDescent="0.2">
      <c r="F1465" s="187"/>
      <c r="G1465" s="187"/>
      <c r="H1465" s="188"/>
      <c r="I1465" s="189"/>
      <c r="J1465" s="190"/>
      <c r="K1465" s="190"/>
      <c r="L1465" s="190"/>
      <c r="M1465" s="191"/>
      <c r="N1465" s="172"/>
      <c r="O1465" s="172"/>
      <c r="P1465" s="172"/>
      <c r="Q1465" s="172"/>
    </row>
    <row r="1466" spans="6:17" s="170" customFormat="1" x14ac:dyDescent="0.2">
      <c r="F1466" s="187"/>
      <c r="G1466" s="187"/>
      <c r="H1466" s="188"/>
      <c r="I1466" s="189"/>
      <c r="J1466" s="190"/>
      <c r="K1466" s="190"/>
      <c r="L1466" s="190"/>
      <c r="M1466" s="191"/>
      <c r="N1466" s="172"/>
      <c r="O1466" s="172"/>
      <c r="P1466" s="172"/>
      <c r="Q1466" s="172"/>
    </row>
    <row r="1467" spans="6:17" s="170" customFormat="1" x14ac:dyDescent="0.2">
      <c r="F1467" s="187"/>
      <c r="G1467" s="187"/>
      <c r="H1467" s="188"/>
      <c r="I1467" s="189"/>
      <c r="J1467" s="190"/>
      <c r="K1467" s="190"/>
      <c r="L1467" s="190"/>
      <c r="M1467" s="191"/>
      <c r="N1467" s="172"/>
      <c r="O1467" s="172"/>
      <c r="P1467" s="172"/>
      <c r="Q1467" s="172"/>
    </row>
    <row r="1468" spans="6:17" s="170" customFormat="1" x14ac:dyDescent="0.2">
      <c r="F1468" s="187"/>
      <c r="G1468" s="187"/>
      <c r="H1468" s="188"/>
      <c r="I1468" s="189"/>
      <c r="J1468" s="190"/>
      <c r="K1468" s="190"/>
      <c r="L1468" s="190"/>
      <c r="M1468" s="191"/>
      <c r="N1468" s="172"/>
      <c r="O1468" s="172"/>
      <c r="P1468" s="172"/>
      <c r="Q1468" s="172"/>
    </row>
    <row r="1469" spans="6:17" s="170" customFormat="1" x14ac:dyDescent="0.2">
      <c r="F1469" s="187"/>
      <c r="G1469" s="187"/>
      <c r="H1469" s="188"/>
      <c r="I1469" s="189"/>
      <c r="J1469" s="190"/>
      <c r="K1469" s="190"/>
      <c r="L1469" s="190"/>
      <c r="M1469" s="191"/>
      <c r="N1469" s="172"/>
      <c r="O1469" s="172"/>
      <c r="P1469" s="172"/>
      <c r="Q1469" s="172"/>
    </row>
    <row r="1470" spans="6:17" s="170" customFormat="1" x14ac:dyDescent="0.2">
      <c r="F1470" s="187"/>
      <c r="G1470" s="187"/>
      <c r="H1470" s="188"/>
      <c r="I1470" s="189"/>
      <c r="J1470" s="190"/>
      <c r="K1470" s="190"/>
      <c r="L1470" s="190"/>
      <c r="M1470" s="191"/>
      <c r="N1470" s="172"/>
      <c r="O1470" s="172"/>
      <c r="P1470" s="172"/>
      <c r="Q1470" s="172"/>
    </row>
    <row r="1471" spans="6:17" s="170" customFormat="1" x14ac:dyDescent="0.2">
      <c r="F1471" s="187"/>
      <c r="G1471" s="187"/>
      <c r="H1471" s="188"/>
      <c r="I1471" s="189"/>
      <c r="J1471" s="190"/>
      <c r="K1471" s="190"/>
      <c r="L1471" s="190"/>
      <c r="M1471" s="191"/>
      <c r="N1471" s="172"/>
      <c r="O1471" s="172"/>
      <c r="P1471" s="172"/>
      <c r="Q1471" s="172"/>
    </row>
    <row r="1472" spans="6:17" s="170" customFormat="1" x14ac:dyDescent="0.2">
      <c r="F1472" s="187"/>
      <c r="G1472" s="187"/>
      <c r="H1472" s="188"/>
      <c r="I1472" s="189"/>
      <c r="J1472" s="190"/>
      <c r="K1472" s="190"/>
      <c r="L1472" s="190"/>
      <c r="M1472" s="191"/>
      <c r="N1472" s="172"/>
      <c r="O1472" s="172"/>
      <c r="P1472" s="172"/>
      <c r="Q1472" s="172"/>
    </row>
    <row r="1473" spans="6:17" s="170" customFormat="1" x14ac:dyDescent="0.2">
      <c r="F1473" s="187"/>
      <c r="G1473" s="187"/>
      <c r="H1473" s="188"/>
      <c r="I1473" s="189"/>
      <c r="J1473" s="190"/>
      <c r="K1473" s="190"/>
      <c r="L1473" s="190"/>
      <c r="M1473" s="191"/>
      <c r="N1473" s="172"/>
      <c r="O1473" s="172"/>
      <c r="P1473" s="172"/>
      <c r="Q1473" s="172"/>
    </row>
    <row r="1474" spans="6:17" s="170" customFormat="1" x14ac:dyDescent="0.2">
      <c r="F1474" s="187"/>
      <c r="G1474" s="187"/>
      <c r="H1474" s="188"/>
      <c r="I1474" s="189"/>
      <c r="J1474" s="190"/>
      <c r="K1474" s="190"/>
      <c r="L1474" s="190"/>
      <c r="M1474" s="191"/>
      <c r="N1474" s="172"/>
      <c r="O1474" s="172"/>
      <c r="P1474" s="172"/>
      <c r="Q1474" s="172"/>
    </row>
    <row r="1475" spans="6:17" s="170" customFormat="1" x14ac:dyDescent="0.2">
      <c r="F1475" s="187"/>
      <c r="G1475" s="187"/>
      <c r="H1475" s="188"/>
      <c r="I1475" s="189"/>
      <c r="J1475" s="190"/>
      <c r="K1475" s="190"/>
      <c r="L1475" s="190"/>
      <c r="M1475" s="191"/>
      <c r="N1475" s="172"/>
      <c r="O1475" s="172"/>
      <c r="P1475" s="172"/>
      <c r="Q1475" s="172"/>
    </row>
    <row r="1476" spans="6:17" s="170" customFormat="1" x14ac:dyDescent="0.2">
      <c r="F1476" s="187"/>
      <c r="G1476" s="187"/>
      <c r="H1476" s="188"/>
      <c r="I1476" s="189"/>
      <c r="J1476" s="190"/>
      <c r="K1476" s="190"/>
      <c r="L1476" s="190"/>
      <c r="M1476" s="191"/>
      <c r="N1476" s="172"/>
      <c r="O1476" s="172"/>
      <c r="P1476" s="172"/>
      <c r="Q1476" s="172"/>
    </row>
    <row r="1477" spans="6:17" s="170" customFormat="1" x14ac:dyDescent="0.2">
      <c r="F1477" s="187"/>
      <c r="G1477" s="187"/>
      <c r="H1477" s="188"/>
      <c r="I1477" s="189"/>
      <c r="J1477" s="190"/>
      <c r="K1477" s="190"/>
      <c r="L1477" s="190"/>
      <c r="M1477" s="191"/>
      <c r="N1477" s="172"/>
      <c r="O1477" s="172"/>
      <c r="P1477" s="172"/>
      <c r="Q1477" s="172"/>
    </row>
    <row r="1478" spans="6:17" s="170" customFormat="1" x14ac:dyDescent="0.2">
      <c r="F1478" s="187"/>
      <c r="G1478" s="187"/>
      <c r="H1478" s="188"/>
      <c r="I1478" s="189"/>
      <c r="J1478" s="190"/>
      <c r="K1478" s="190"/>
      <c r="L1478" s="190"/>
      <c r="M1478" s="191"/>
      <c r="N1478" s="172"/>
      <c r="O1478" s="172"/>
      <c r="P1478" s="172"/>
      <c r="Q1478" s="172"/>
    </row>
    <row r="1479" spans="6:17" s="170" customFormat="1" x14ac:dyDescent="0.2">
      <c r="F1479" s="187"/>
      <c r="G1479" s="187"/>
      <c r="H1479" s="188"/>
      <c r="I1479" s="189"/>
      <c r="J1479" s="190"/>
      <c r="K1479" s="190"/>
      <c r="L1479" s="190"/>
      <c r="M1479" s="191"/>
      <c r="N1479" s="172"/>
      <c r="O1479" s="172"/>
      <c r="P1479" s="172"/>
      <c r="Q1479" s="172"/>
    </row>
    <row r="1480" spans="6:17" s="170" customFormat="1" x14ac:dyDescent="0.2">
      <c r="F1480" s="187"/>
      <c r="G1480" s="187"/>
      <c r="H1480" s="188"/>
      <c r="I1480" s="189"/>
      <c r="J1480" s="190"/>
      <c r="K1480" s="190"/>
      <c r="L1480" s="190"/>
      <c r="M1480" s="191"/>
      <c r="N1480" s="172"/>
      <c r="O1480" s="172"/>
      <c r="P1480" s="172"/>
      <c r="Q1480" s="172"/>
    </row>
    <row r="1481" spans="6:17" s="170" customFormat="1" x14ac:dyDescent="0.2">
      <c r="F1481" s="187"/>
      <c r="G1481" s="187"/>
      <c r="H1481" s="188"/>
      <c r="I1481" s="189"/>
      <c r="J1481" s="190"/>
      <c r="K1481" s="190"/>
      <c r="L1481" s="190"/>
      <c r="M1481" s="191"/>
      <c r="N1481" s="172"/>
      <c r="O1481" s="172"/>
      <c r="P1481" s="172"/>
      <c r="Q1481" s="172"/>
    </row>
    <row r="1482" spans="6:17" s="170" customFormat="1" x14ac:dyDescent="0.2">
      <c r="F1482" s="187"/>
      <c r="G1482" s="187"/>
      <c r="H1482" s="188"/>
      <c r="I1482" s="189"/>
      <c r="J1482" s="190"/>
      <c r="K1482" s="190"/>
      <c r="L1482" s="190"/>
      <c r="M1482" s="191"/>
      <c r="N1482" s="172"/>
      <c r="O1482" s="172"/>
      <c r="P1482" s="172"/>
      <c r="Q1482" s="172"/>
    </row>
    <row r="1483" spans="6:17" s="170" customFormat="1" x14ac:dyDescent="0.2">
      <c r="F1483" s="187"/>
      <c r="G1483" s="187"/>
      <c r="H1483" s="188"/>
      <c r="I1483" s="189"/>
      <c r="J1483" s="190"/>
      <c r="K1483" s="190"/>
      <c r="L1483" s="190"/>
      <c r="M1483" s="191"/>
      <c r="N1483" s="172"/>
      <c r="O1483" s="172"/>
      <c r="P1483" s="172"/>
      <c r="Q1483" s="172"/>
    </row>
    <row r="1484" spans="6:17" s="170" customFormat="1" x14ac:dyDescent="0.2">
      <c r="F1484" s="187"/>
      <c r="G1484" s="187"/>
      <c r="H1484" s="188"/>
      <c r="I1484" s="189"/>
      <c r="J1484" s="190"/>
      <c r="K1484" s="190"/>
      <c r="L1484" s="190"/>
      <c r="M1484" s="191"/>
      <c r="N1484" s="172"/>
      <c r="O1484" s="172"/>
      <c r="P1484" s="172"/>
      <c r="Q1484" s="172"/>
    </row>
    <row r="1485" spans="6:17" s="170" customFormat="1" x14ac:dyDescent="0.2">
      <c r="F1485" s="187"/>
      <c r="G1485" s="187"/>
      <c r="H1485" s="188"/>
      <c r="I1485" s="189"/>
      <c r="J1485" s="190"/>
      <c r="K1485" s="190"/>
      <c r="L1485" s="190"/>
      <c r="M1485" s="191"/>
      <c r="N1485" s="172"/>
      <c r="O1485" s="172"/>
      <c r="P1485" s="172"/>
      <c r="Q1485" s="172"/>
    </row>
    <row r="1486" spans="6:17" s="170" customFormat="1" x14ac:dyDescent="0.2">
      <c r="F1486" s="187"/>
      <c r="G1486" s="187"/>
      <c r="H1486" s="188"/>
      <c r="I1486" s="189"/>
      <c r="J1486" s="190"/>
      <c r="K1486" s="190"/>
      <c r="L1486" s="190"/>
      <c r="M1486" s="191"/>
      <c r="N1486" s="172"/>
      <c r="O1486" s="172"/>
      <c r="P1486" s="172"/>
      <c r="Q1486" s="172"/>
    </row>
    <row r="1487" spans="6:17" s="170" customFormat="1" x14ac:dyDescent="0.2">
      <c r="F1487" s="187"/>
      <c r="G1487" s="187"/>
      <c r="H1487" s="188"/>
      <c r="I1487" s="189"/>
      <c r="J1487" s="190"/>
      <c r="K1487" s="190"/>
      <c r="L1487" s="190"/>
      <c r="M1487" s="191"/>
      <c r="N1487" s="172"/>
      <c r="O1487" s="172"/>
      <c r="P1487" s="172"/>
      <c r="Q1487" s="172"/>
    </row>
    <row r="1488" spans="6:17" s="170" customFormat="1" x14ac:dyDescent="0.2">
      <c r="F1488" s="187"/>
      <c r="G1488" s="187"/>
      <c r="H1488" s="188"/>
      <c r="I1488" s="189"/>
      <c r="J1488" s="190"/>
      <c r="K1488" s="190"/>
      <c r="L1488" s="190"/>
      <c r="M1488" s="191"/>
      <c r="N1488" s="172"/>
      <c r="O1488" s="172"/>
      <c r="P1488" s="172"/>
      <c r="Q1488" s="172"/>
    </row>
    <row r="1489" spans="6:17" s="170" customFormat="1" x14ac:dyDescent="0.2">
      <c r="F1489" s="187"/>
      <c r="G1489" s="187"/>
      <c r="H1489" s="188"/>
      <c r="I1489" s="189"/>
      <c r="J1489" s="190"/>
      <c r="K1489" s="190"/>
      <c r="L1489" s="190"/>
      <c r="M1489" s="191"/>
      <c r="N1489" s="172"/>
      <c r="O1489" s="172"/>
      <c r="P1489" s="172"/>
      <c r="Q1489" s="172"/>
    </row>
    <row r="1490" spans="6:17" s="170" customFormat="1" x14ac:dyDescent="0.2">
      <c r="F1490" s="187"/>
      <c r="G1490" s="187"/>
      <c r="H1490" s="188"/>
      <c r="I1490" s="189"/>
      <c r="J1490" s="190"/>
      <c r="K1490" s="190"/>
      <c r="L1490" s="190"/>
      <c r="M1490" s="191"/>
      <c r="N1490" s="172"/>
      <c r="O1490" s="172"/>
      <c r="P1490" s="172"/>
      <c r="Q1490" s="172"/>
    </row>
    <row r="1491" spans="6:17" s="170" customFormat="1" x14ac:dyDescent="0.2">
      <c r="F1491" s="187"/>
      <c r="G1491" s="187"/>
      <c r="H1491" s="188"/>
      <c r="I1491" s="189"/>
      <c r="J1491" s="190"/>
      <c r="K1491" s="190"/>
      <c r="L1491" s="190"/>
      <c r="M1491" s="191"/>
      <c r="N1491" s="172"/>
      <c r="O1491" s="172"/>
      <c r="P1491" s="172"/>
      <c r="Q1491" s="172"/>
    </row>
    <row r="1492" spans="6:17" s="170" customFormat="1" x14ac:dyDescent="0.2">
      <c r="F1492" s="187"/>
      <c r="G1492" s="187"/>
      <c r="H1492" s="188"/>
      <c r="I1492" s="189"/>
      <c r="J1492" s="190"/>
      <c r="K1492" s="190"/>
      <c r="L1492" s="190"/>
      <c r="M1492" s="191"/>
      <c r="N1492" s="172"/>
      <c r="O1492" s="172"/>
      <c r="P1492" s="172"/>
      <c r="Q1492" s="172"/>
    </row>
    <row r="1493" spans="6:17" s="170" customFormat="1" x14ac:dyDescent="0.2">
      <c r="F1493" s="187"/>
      <c r="G1493" s="187"/>
      <c r="H1493" s="188"/>
      <c r="I1493" s="189"/>
      <c r="J1493" s="190"/>
      <c r="K1493" s="190"/>
      <c r="L1493" s="190"/>
      <c r="M1493" s="191"/>
      <c r="N1493" s="172"/>
      <c r="O1493" s="172"/>
      <c r="P1493" s="172"/>
      <c r="Q1493" s="172"/>
    </row>
    <row r="1494" spans="6:17" s="170" customFormat="1" x14ac:dyDescent="0.2">
      <c r="F1494" s="187"/>
      <c r="G1494" s="187"/>
      <c r="H1494" s="188"/>
      <c r="I1494" s="189"/>
      <c r="J1494" s="190"/>
      <c r="K1494" s="190"/>
      <c r="L1494" s="190"/>
      <c r="M1494" s="191"/>
      <c r="N1494" s="172"/>
      <c r="O1494" s="172"/>
      <c r="P1494" s="172"/>
      <c r="Q1494" s="172"/>
    </row>
    <row r="1495" spans="6:17" s="170" customFormat="1" x14ac:dyDescent="0.2">
      <c r="F1495" s="187"/>
      <c r="G1495" s="187"/>
      <c r="H1495" s="188"/>
      <c r="I1495" s="189"/>
      <c r="J1495" s="190"/>
      <c r="K1495" s="190"/>
      <c r="L1495" s="190"/>
      <c r="M1495" s="191"/>
      <c r="N1495" s="172"/>
      <c r="O1495" s="172"/>
      <c r="P1495" s="172"/>
      <c r="Q1495" s="172"/>
    </row>
    <row r="1496" spans="6:17" s="170" customFormat="1" x14ac:dyDescent="0.2">
      <c r="F1496" s="187"/>
      <c r="G1496" s="187"/>
      <c r="H1496" s="188"/>
      <c r="I1496" s="189"/>
      <c r="J1496" s="190"/>
      <c r="K1496" s="190"/>
      <c r="L1496" s="190"/>
      <c r="M1496" s="191"/>
      <c r="N1496" s="172"/>
      <c r="O1496" s="172"/>
      <c r="P1496" s="172"/>
      <c r="Q1496" s="172"/>
    </row>
    <row r="1497" spans="6:17" s="170" customFormat="1" x14ac:dyDescent="0.2">
      <c r="F1497" s="187"/>
      <c r="G1497" s="187"/>
      <c r="H1497" s="188"/>
      <c r="I1497" s="189"/>
      <c r="J1497" s="190"/>
      <c r="K1497" s="190"/>
      <c r="L1497" s="190"/>
      <c r="M1497" s="191"/>
      <c r="N1497" s="172"/>
      <c r="O1497" s="172"/>
      <c r="P1497" s="172"/>
      <c r="Q1497" s="172"/>
    </row>
    <row r="1498" spans="6:17" s="170" customFormat="1" x14ac:dyDescent="0.2">
      <c r="F1498" s="187"/>
      <c r="G1498" s="187"/>
      <c r="H1498" s="188"/>
      <c r="I1498" s="189"/>
      <c r="J1498" s="190"/>
      <c r="K1498" s="190"/>
      <c r="L1498" s="190"/>
      <c r="M1498" s="191"/>
      <c r="N1498" s="172"/>
      <c r="O1498" s="172"/>
      <c r="P1498" s="172"/>
      <c r="Q1498" s="172"/>
    </row>
    <row r="1499" spans="6:17" s="170" customFormat="1" x14ac:dyDescent="0.2">
      <c r="F1499" s="187"/>
      <c r="G1499" s="187"/>
      <c r="H1499" s="188"/>
      <c r="I1499" s="189"/>
      <c r="J1499" s="190"/>
      <c r="K1499" s="190"/>
      <c r="L1499" s="190"/>
      <c r="M1499" s="191"/>
      <c r="N1499" s="172"/>
      <c r="O1499" s="172"/>
      <c r="P1499" s="172"/>
      <c r="Q1499" s="172"/>
    </row>
    <row r="1500" spans="6:17" s="170" customFormat="1" x14ac:dyDescent="0.2">
      <c r="F1500" s="187"/>
      <c r="G1500" s="187"/>
      <c r="H1500" s="188"/>
      <c r="I1500" s="189"/>
      <c r="J1500" s="190"/>
      <c r="K1500" s="190"/>
      <c r="L1500" s="190"/>
      <c r="M1500" s="191"/>
      <c r="N1500" s="172"/>
      <c r="O1500" s="172"/>
      <c r="P1500" s="172"/>
      <c r="Q1500" s="172"/>
    </row>
    <row r="1501" spans="6:17" s="170" customFormat="1" x14ac:dyDescent="0.2">
      <c r="F1501" s="187"/>
      <c r="G1501" s="187"/>
      <c r="H1501" s="188"/>
      <c r="I1501" s="189"/>
      <c r="J1501" s="190"/>
      <c r="K1501" s="190"/>
      <c r="L1501" s="190"/>
      <c r="M1501" s="191"/>
      <c r="N1501" s="172"/>
      <c r="O1501" s="172"/>
      <c r="P1501" s="172"/>
      <c r="Q1501" s="172"/>
    </row>
    <row r="1502" spans="6:17" s="170" customFormat="1" x14ac:dyDescent="0.2">
      <c r="F1502" s="187"/>
      <c r="G1502" s="187"/>
      <c r="H1502" s="188"/>
      <c r="I1502" s="189"/>
      <c r="J1502" s="190"/>
      <c r="K1502" s="190"/>
      <c r="L1502" s="190"/>
      <c r="M1502" s="191"/>
      <c r="N1502" s="172"/>
      <c r="O1502" s="172"/>
      <c r="P1502" s="172"/>
      <c r="Q1502" s="172"/>
    </row>
    <row r="1503" spans="6:17" s="170" customFormat="1" x14ac:dyDescent="0.2">
      <c r="F1503" s="187"/>
      <c r="G1503" s="187"/>
      <c r="H1503" s="188"/>
      <c r="I1503" s="189"/>
      <c r="J1503" s="190"/>
      <c r="K1503" s="190"/>
      <c r="L1503" s="190"/>
      <c r="M1503" s="191"/>
      <c r="N1503" s="172"/>
      <c r="O1503" s="172"/>
      <c r="P1503" s="172"/>
      <c r="Q1503" s="172"/>
    </row>
    <row r="1504" spans="6:17" s="170" customFormat="1" x14ac:dyDescent="0.2">
      <c r="F1504" s="187"/>
      <c r="G1504" s="187"/>
      <c r="H1504" s="188"/>
      <c r="I1504" s="189"/>
      <c r="J1504" s="190"/>
      <c r="K1504" s="190"/>
      <c r="L1504" s="190"/>
      <c r="M1504" s="191"/>
      <c r="N1504" s="172"/>
      <c r="O1504" s="172"/>
      <c r="P1504" s="172"/>
      <c r="Q1504" s="172"/>
    </row>
    <row r="1505" spans="6:17" s="170" customFormat="1" x14ac:dyDescent="0.2">
      <c r="F1505" s="187"/>
      <c r="G1505" s="187"/>
      <c r="H1505" s="188"/>
      <c r="I1505" s="189"/>
      <c r="J1505" s="190"/>
      <c r="K1505" s="190"/>
      <c r="L1505" s="190"/>
      <c r="M1505" s="191"/>
      <c r="N1505" s="172"/>
      <c r="O1505" s="172"/>
      <c r="P1505" s="172"/>
      <c r="Q1505" s="172"/>
    </row>
    <row r="1506" spans="6:17" s="170" customFormat="1" x14ac:dyDescent="0.2">
      <c r="F1506" s="187"/>
      <c r="G1506" s="187"/>
      <c r="H1506" s="188"/>
      <c r="I1506" s="189"/>
      <c r="J1506" s="190"/>
      <c r="K1506" s="190"/>
      <c r="L1506" s="190"/>
      <c r="M1506" s="191"/>
      <c r="N1506" s="172"/>
      <c r="O1506" s="172"/>
      <c r="P1506" s="172"/>
      <c r="Q1506" s="172"/>
    </row>
    <row r="1507" spans="6:17" s="170" customFormat="1" x14ac:dyDescent="0.2">
      <c r="F1507" s="187"/>
      <c r="G1507" s="187"/>
      <c r="H1507" s="188"/>
      <c r="I1507" s="189"/>
      <c r="J1507" s="190"/>
      <c r="K1507" s="190"/>
      <c r="L1507" s="190"/>
      <c r="M1507" s="191"/>
      <c r="N1507" s="172"/>
      <c r="O1507" s="172"/>
      <c r="P1507" s="172"/>
      <c r="Q1507" s="172"/>
    </row>
    <row r="1508" spans="6:17" s="170" customFormat="1" x14ac:dyDescent="0.2">
      <c r="F1508" s="187"/>
      <c r="G1508" s="187"/>
      <c r="H1508" s="188"/>
      <c r="I1508" s="189"/>
      <c r="J1508" s="190"/>
      <c r="K1508" s="190"/>
      <c r="L1508" s="190"/>
      <c r="M1508" s="191"/>
      <c r="N1508" s="172"/>
      <c r="O1508" s="172"/>
      <c r="P1508" s="172"/>
      <c r="Q1508" s="172"/>
    </row>
    <row r="1509" spans="6:17" s="170" customFormat="1" x14ac:dyDescent="0.2">
      <c r="F1509" s="187"/>
      <c r="G1509" s="187"/>
      <c r="H1509" s="188"/>
      <c r="I1509" s="189"/>
      <c r="J1509" s="190"/>
      <c r="K1509" s="190"/>
      <c r="L1509" s="190"/>
      <c r="M1509" s="191"/>
      <c r="N1509" s="172"/>
      <c r="O1509" s="172"/>
      <c r="P1509" s="172"/>
      <c r="Q1509" s="172"/>
    </row>
    <row r="1510" spans="6:17" s="170" customFormat="1" x14ac:dyDescent="0.2">
      <c r="F1510" s="187"/>
      <c r="G1510" s="187"/>
      <c r="H1510" s="188"/>
      <c r="I1510" s="189"/>
      <c r="J1510" s="190"/>
      <c r="K1510" s="190"/>
      <c r="L1510" s="190"/>
      <c r="M1510" s="191"/>
      <c r="N1510" s="172"/>
      <c r="O1510" s="172"/>
      <c r="P1510" s="172"/>
      <c r="Q1510" s="172"/>
    </row>
    <row r="1511" spans="6:17" s="170" customFormat="1" x14ac:dyDescent="0.2">
      <c r="F1511" s="187"/>
      <c r="G1511" s="187"/>
      <c r="H1511" s="188"/>
      <c r="I1511" s="189"/>
      <c r="J1511" s="190"/>
      <c r="K1511" s="190"/>
      <c r="L1511" s="190"/>
      <c r="M1511" s="191"/>
      <c r="N1511" s="172"/>
      <c r="O1511" s="172"/>
      <c r="P1511" s="172"/>
      <c r="Q1511" s="172"/>
    </row>
    <row r="1512" spans="6:17" s="170" customFormat="1" x14ac:dyDescent="0.2">
      <c r="F1512" s="187"/>
      <c r="G1512" s="187"/>
      <c r="H1512" s="188"/>
      <c r="I1512" s="189"/>
      <c r="J1512" s="190"/>
      <c r="K1512" s="190"/>
      <c r="L1512" s="190"/>
      <c r="M1512" s="191"/>
      <c r="N1512" s="172"/>
      <c r="O1512" s="172"/>
      <c r="P1512" s="172"/>
      <c r="Q1512" s="172"/>
    </row>
    <row r="1513" spans="6:17" s="170" customFormat="1" x14ac:dyDescent="0.2">
      <c r="F1513" s="187"/>
      <c r="G1513" s="187"/>
      <c r="H1513" s="188"/>
      <c r="I1513" s="189"/>
      <c r="J1513" s="190"/>
      <c r="K1513" s="190"/>
      <c r="L1513" s="190"/>
      <c r="M1513" s="191"/>
      <c r="N1513" s="172"/>
      <c r="O1513" s="172"/>
      <c r="P1513" s="172"/>
      <c r="Q1513" s="172"/>
    </row>
    <row r="1514" spans="6:17" s="170" customFormat="1" x14ac:dyDescent="0.2">
      <c r="F1514" s="187"/>
      <c r="G1514" s="187"/>
      <c r="H1514" s="188"/>
      <c r="I1514" s="189"/>
      <c r="J1514" s="190"/>
      <c r="K1514" s="190"/>
      <c r="L1514" s="190"/>
      <c r="M1514" s="191"/>
      <c r="N1514" s="172"/>
      <c r="O1514" s="172"/>
      <c r="P1514" s="172"/>
      <c r="Q1514" s="172"/>
    </row>
    <row r="1515" spans="6:17" s="170" customFormat="1" x14ac:dyDescent="0.2">
      <c r="F1515" s="187"/>
      <c r="G1515" s="187"/>
      <c r="H1515" s="188"/>
      <c r="I1515" s="189"/>
      <c r="J1515" s="190"/>
      <c r="K1515" s="190"/>
      <c r="L1515" s="190"/>
      <c r="M1515" s="191"/>
      <c r="N1515" s="172"/>
      <c r="O1515" s="172"/>
      <c r="P1515" s="172"/>
      <c r="Q1515" s="172"/>
    </row>
    <row r="1516" spans="6:17" s="170" customFormat="1" x14ac:dyDescent="0.2">
      <c r="F1516" s="187"/>
      <c r="G1516" s="187"/>
      <c r="H1516" s="188"/>
      <c r="I1516" s="189"/>
      <c r="J1516" s="190"/>
      <c r="K1516" s="190"/>
      <c r="L1516" s="190"/>
      <c r="M1516" s="191"/>
      <c r="N1516" s="172"/>
      <c r="O1516" s="172"/>
      <c r="P1516" s="172"/>
      <c r="Q1516" s="172"/>
    </row>
    <row r="1517" spans="6:17" s="170" customFormat="1" x14ac:dyDescent="0.2">
      <c r="F1517" s="187"/>
      <c r="G1517" s="187"/>
      <c r="H1517" s="188"/>
      <c r="I1517" s="189"/>
      <c r="J1517" s="190"/>
      <c r="K1517" s="190"/>
      <c r="L1517" s="190"/>
      <c r="M1517" s="191"/>
      <c r="N1517" s="172"/>
      <c r="O1517" s="172"/>
      <c r="P1517" s="172"/>
      <c r="Q1517" s="172"/>
    </row>
    <row r="1518" spans="6:17" s="170" customFormat="1" x14ac:dyDescent="0.2">
      <c r="F1518" s="187"/>
      <c r="G1518" s="187"/>
      <c r="H1518" s="188"/>
      <c r="I1518" s="189"/>
      <c r="J1518" s="190"/>
      <c r="K1518" s="190"/>
      <c r="L1518" s="190"/>
      <c r="M1518" s="191"/>
      <c r="N1518" s="172"/>
      <c r="O1518" s="172"/>
      <c r="P1518" s="172"/>
      <c r="Q1518" s="172"/>
    </row>
    <row r="1519" spans="6:17" s="170" customFormat="1" x14ac:dyDescent="0.2">
      <c r="F1519" s="187"/>
      <c r="G1519" s="187"/>
      <c r="H1519" s="188"/>
      <c r="I1519" s="189"/>
      <c r="J1519" s="190"/>
      <c r="K1519" s="190"/>
      <c r="L1519" s="190"/>
      <c r="M1519" s="191"/>
      <c r="N1519" s="172"/>
      <c r="O1519" s="172"/>
      <c r="P1519" s="172"/>
      <c r="Q1519" s="172"/>
    </row>
    <row r="1520" spans="6:17" s="170" customFormat="1" x14ac:dyDescent="0.2">
      <c r="F1520" s="187"/>
      <c r="G1520" s="187"/>
      <c r="H1520" s="188"/>
      <c r="I1520" s="189"/>
      <c r="J1520" s="190"/>
      <c r="K1520" s="190"/>
      <c r="L1520" s="190"/>
      <c r="M1520" s="191"/>
      <c r="N1520" s="172"/>
      <c r="O1520" s="172"/>
      <c r="P1520" s="172"/>
      <c r="Q1520" s="172"/>
    </row>
    <row r="1521" spans="6:17" s="170" customFormat="1" x14ac:dyDescent="0.2">
      <c r="F1521" s="187"/>
      <c r="G1521" s="187"/>
      <c r="H1521" s="188"/>
      <c r="I1521" s="189"/>
      <c r="J1521" s="190"/>
      <c r="K1521" s="190"/>
      <c r="L1521" s="190"/>
      <c r="M1521" s="191"/>
      <c r="N1521" s="172"/>
      <c r="O1521" s="172"/>
      <c r="P1521" s="172"/>
      <c r="Q1521" s="172"/>
    </row>
    <row r="1522" spans="6:17" s="170" customFormat="1" x14ac:dyDescent="0.2">
      <c r="F1522" s="187"/>
      <c r="G1522" s="187"/>
      <c r="H1522" s="188"/>
      <c r="I1522" s="189"/>
      <c r="J1522" s="190"/>
      <c r="K1522" s="190"/>
      <c r="L1522" s="190"/>
      <c r="M1522" s="191"/>
      <c r="N1522" s="172"/>
      <c r="O1522" s="172"/>
      <c r="P1522" s="172"/>
      <c r="Q1522" s="172"/>
    </row>
    <row r="1523" spans="6:17" s="170" customFormat="1" x14ac:dyDescent="0.2">
      <c r="F1523" s="187"/>
      <c r="G1523" s="187"/>
      <c r="H1523" s="188"/>
      <c r="I1523" s="189"/>
      <c r="J1523" s="190"/>
      <c r="K1523" s="190"/>
      <c r="L1523" s="190"/>
      <c r="M1523" s="191"/>
      <c r="N1523" s="172"/>
      <c r="O1523" s="172"/>
      <c r="P1523" s="172"/>
      <c r="Q1523" s="172"/>
    </row>
    <row r="1524" spans="6:17" s="170" customFormat="1" x14ac:dyDescent="0.2">
      <c r="F1524" s="187"/>
      <c r="G1524" s="187"/>
      <c r="H1524" s="188"/>
      <c r="I1524" s="189"/>
      <c r="J1524" s="190"/>
      <c r="K1524" s="190"/>
      <c r="L1524" s="190"/>
      <c r="M1524" s="191"/>
      <c r="N1524" s="172"/>
      <c r="O1524" s="172"/>
      <c r="P1524" s="172"/>
      <c r="Q1524" s="172"/>
    </row>
    <row r="1525" spans="6:17" s="170" customFormat="1" x14ac:dyDescent="0.2">
      <c r="F1525" s="187"/>
      <c r="G1525" s="187"/>
      <c r="H1525" s="188"/>
      <c r="I1525" s="189"/>
      <c r="J1525" s="190"/>
      <c r="K1525" s="190"/>
      <c r="L1525" s="190"/>
      <c r="M1525" s="191"/>
      <c r="N1525" s="172"/>
      <c r="O1525" s="172"/>
      <c r="P1525" s="172"/>
      <c r="Q1525" s="172"/>
    </row>
    <row r="1526" spans="6:17" s="170" customFormat="1" x14ac:dyDescent="0.2">
      <c r="F1526" s="187"/>
      <c r="G1526" s="187"/>
      <c r="H1526" s="188"/>
      <c r="I1526" s="189"/>
      <c r="J1526" s="190"/>
      <c r="K1526" s="190"/>
      <c r="L1526" s="190"/>
      <c r="M1526" s="191"/>
      <c r="N1526" s="172"/>
      <c r="O1526" s="172"/>
      <c r="P1526" s="172"/>
      <c r="Q1526" s="172"/>
    </row>
    <row r="1527" spans="6:17" s="170" customFormat="1" x14ac:dyDescent="0.2">
      <c r="F1527" s="187"/>
      <c r="G1527" s="187"/>
      <c r="H1527" s="188"/>
      <c r="I1527" s="189"/>
      <c r="J1527" s="190"/>
      <c r="K1527" s="190"/>
      <c r="L1527" s="190"/>
      <c r="M1527" s="191"/>
      <c r="N1527" s="172"/>
      <c r="O1527" s="172"/>
      <c r="P1527" s="172"/>
      <c r="Q1527" s="172"/>
    </row>
    <row r="1528" spans="6:17" s="170" customFormat="1" x14ac:dyDescent="0.2">
      <c r="F1528" s="187"/>
      <c r="G1528" s="187"/>
      <c r="H1528" s="188"/>
      <c r="I1528" s="189"/>
      <c r="J1528" s="190"/>
      <c r="K1528" s="190"/>
      <c r="L1528" s="190"/>
      <c r="M1528" s="191"/>
      <c r="N1528" s="172"/>
      <c r="O1528" s="172"/>
      <c r="P1528" s="172"/>
      <c r="Q1528" s="172"/>
    </row>
    <row r="1529" spans="6:17" s="170" customFormat="1" x14ac:dyDescent="0.2">
      <c r="F1529" s="187"/>
      <c r="G1529" s="187"/>
      <c r="H1529" s="188"/>
      <c r="I1529" s="189"/>
      <c r="J1529" s="190"/>
      <c r="K1529" s="190"/>
      <c r="L1529" s="190"/>
      <c r="M1529" s="191"/>
      <c r="N1529" s="172"/>
      <c r="O1529" s="172"/>
      <c r="P1529" s="172"/>
      <c r="Q1529" s="172"/>
    </row>
    <row r="1530" spans="6:17" s="170" customFormat="1" x14ac:dyDescent="0.2">
      <c r="F1530" s="187"/>
      <c r="G1530" s="187"/>
      <c r="H1530" s="188"/>
      <c r="I1530" s="189"/>
      <c r="J1530" s="190"/>
      <c r="K1530" s="190"/>
      <c r="L1530" s="190"/>
      <c r="M1530" s="191"/>
      <c r="N1530" s="172"/>
      <c r="O1530" s="172"/>
      <c r="P1530" s="172"/>
      <c r="Q1530" s="172"/>
    </row>
    <row r="1531" spans="6:17" s="170" customFormat="1" x14ac:dyDescent="0.2">
      <c r="F1531" s="187"/>
      <c r="G1531" s="187"/>
      <c r="H1531" s="188"/>
      <c r="I1531" s="189"/>
      <c r="J1531" s="190"/>
      <c r="K1531" s="190"/>
      <c r="L1531" s="190"/>
      <c r="M1531" s="191"/>
      <c r="N1531" s="172"/>
      <c r="O1531" s="172"/>
      <c r="P1531" s="172"/>
      <c r="Q1531" s="172"/>
    </row>
    <row r="1532" spans="6:17" s="170" customFormat="1" x14ac:dyDescent="0.2">
      <c r="F1532" s="187"/>
      <c r="G1532" s="187"/>
      <c r="H1532" s="188"/>
      <c r="I1532" s="189"/>
      <c r="J1532" s="190"/>
      <c r="K1532" s="190"/>
      <c r="L1532" s="190"/>
      <c r="M1532" s="191"/>
      <c r="N1532" s="172"/>
      <c r="O1532" s="172"/>
      <c r="P1532" s="172"/>
      <c r="Q1532" s="172"/>
    </row>
    <row r="1533" spans="6:17" s="170" customFormat="1" x14ac:dyDescent="0.2">
      <c r="F1533" s="187"/>
      <c r="G1533" s="187"/>
      <c r="H1533" s="188"/>
      <c r="I1533" s="189"/>
      <c r="J1533" s="190"/>
      <c r="K1533" s="190"/>
      <c r="L1533" s="190"/>
      <c r="M1533" s="191"/>
      <c r="N1533" s="172"/>
      <c r="O1533" s="172"/>
      <c r="P1533" s="172"/>
      <c r="Q1533" s="172"/>
    </row>
    <row r="1534" spans="6:17" s="170" customFormat="1" x14ac:dyDescent="0.2">
      <c r="F1534" s="187"/>
      <c r="G1534" s="187"/>
      <c r="H1534" s="188"/>
      <c r="I1534" s="189"/>
      <c r="J1534" s="190"/>
      <c r="K1534" s="190"/>
      <c r="L1534" s="190"/>
      <c r="M1534" s="191"/>
      <c r="N1534" s="172"/>
      <c r="O1534" s="172"/>
      <c r="P1534" s="172"/>
      <c r="Q1534" s="172"/>
    </row>
    <row r="1535" spans="6:17" s="170" customFormat="1" x14ac:dyDescent="0.2">
      <c r="F1535" s="187"/>
      <c r="G1535" s="187"/>
      <c r="H1535" s="188"/>
      <c r="I1535" s="189"/>
      <c r="J1535" s="190"/>
      <c r="K1535" s="190"/>
      <c r="L1535" s="190"/>
      <c r="M1535" s="191"/>
      <c r="N1535" s="172"/>
      <c r="O1535" s="172"/>
      <c r="P1535" s="172"/>
      <c r="Q1535" s="172"/>
    </row>
    <row r="1536" spans="6:17" s="170" customFormat="1" x14ac:dyDescent="0.2">
      <c r="F1536" s="187"/>
      <c r="G1536" s="187"/>
      <c r="H1536" s="188"/>
      <c r="I1536" s="189"/>
      <c r="J1536" s="190"/>
      <c r="K1536" s="190"/>
      <c r="L1536" s="190"/>
      <c r="M1536" s="191"/>
      <c r="N1536" s="172"/>
      <c r="O1536" s="172"/>
      <c r="P1536" s="172"/>
      <c r="Q1536" s="172"/>
    </row>
    <row r="1537" spans="6:17" s="170" customFormat="1" x14ac:dyDescent="0.2">
      <c r="F1537" s="187"/>
      <c r="G1537" s="187"/>
      <c r="H1537" s="188"/>
      <c r="I1537" s="189"/>
      <c r="J1537" s="190"/>
      <c r="K1537" s="190"/>
      <c r="L1537" s="190"/>
      <c r="M1537" s="191"/>
      <c r="N1537" s="172"/>
      <c r="O1537" s="172"/>
      <c r="P1537" s="172"/>
      <c r="Q1537" s="172"/>
    </row>
    <row r="1538" spans="6:17" s="170" customFormat="1" x14ac:dyDescent="0.2">
      <c r="F1538" s="187"/>
      <c r="G1538" s="187"/>
      <c r="H1538" s="188"/>
      <c r="I1538" s="189"/>
      <c r="J1538" s="190"/>
      <c r="K1538" s="190"/>
      <c r="L1538" s="190"/>
      <c r="M1538" s="191"/>
      <c r="N1538" s="172"/>
      <c r="O1538" s="172"/>
      <c r="P1538" s="172"/>
      <c r="Q1538" s="172"/>
    </row>
    <row r="1539" spans="6:17" s="170" customFormat="1" x14ac:dyDescent="0.2">
      <c r="F1539" s="187"/>
      <c r="G1539" s="187"/>
      <c r="H1539" s="188"/>
      <c r="I1539" s="189"/>
      <c r="J1539" s="190"/>
      <c r="K1539" s="190"/>
      <c r="L1539" s="190"/>
      <c r="M1539" s="191"/>
      <c r="N1539" s="172"/>
      <c r="O1539" s="172"/>
      <c r="P1539" s="172"/>
      <c r="Q1539" s="172"/>
    </row>
    <row r="1540" spans="6:17" s="170" customFormat="1" x14ac:dyDescent="0.2">
      <c r="F1540" s="187"/>
      <c r="G1540" s="187"/>
      <c r="H1540" s="188"/>
      <c r="I1540" s="189"/>
      <c r="J1540" s="190"/>
      <c r="K1540" s="190"/>
      <c r="L1540" s="190"/>
      <c r="M1540" s="191"/>
      <c r="N1540" s="172"/>
      <c r="O1540" s="172"/>
      <c r="P1540" s="172"/>
      <c r="Q1540" s="172"/>
    </row>
    <row r="1541" spans="6:17" s="170" customFormat="1" x14ac:dyDescent="0.2">
      <c r="F1541" s="187"/>
      <c r="G1541" s="187"/>
      <c r="H1541" s="188"/>
      <c r="I1541" s="189"/>
      <c r="J1541" s="190"/>
      <c r="K1541" s="190"/>
      <c r="L1541" s="190"/>
      <c r="M1541" s="191"/>
      <c r="N1541" s="172"/>
      <c r="O1541" s="172"/>
      <c r="P1541" s="172"/>
      <c r="Q1541" s="172"/>
    </row>
    <row r="1542" spans="6:17" s="170" customFormat="1" x14ac:dyDescent="0.2">
      <c r="F1542" s="187"/>
      <c r="G1542" s="187"/>
      <c r="H1542" s="188"/>
      <c r="I1542" s="189"/>
      <c r="J1542" s="190"/>
      <c r="K1542" s="190"/>
      <c r="L1542" s="190"/>
      <c r="M1542" s="191"/>
      <c r="N1542" s="172"/>
      <c r="O1542" s="172"/>
      <c r="P1542" s="172"/>
      <c r="Q1542" s="172"/>
    </row>
    <row r="1543" spans="6:17" s="170" customFormat="1" x14ac:dyDescent="0.2">
      <c r="F1543" s="187"/>
      <c r="G1543" s="187"/>
      <c r="H1543" s="188"/>
      <c r="I1543" s="189"/>
      <c r="J1543" s="190"/>
      <c r="K1543" s="190"/>
      <c r="L1543" s="190"/>
      <c r="M1543" s="191"/>
      <c r="N1543" s="172"/>
      <c r="O1543" s="172"/>
      <c r="P1543" s="172"/>
      <c r="Q1543" s="172"/>
    </row>
    <row r="1544" spans="6:17" s="170" customFormat="1" x14ac:dyDescent="0.2">
      <c r="F1544" s="187"/>
      <c r="G1544" s="187"/>
      <c r="H1544" s="188"/>
      <c r="I1544" s="189"/>
      <c r="J1544" s="190"/>
      <c r="K1544" s="190"/>
      <c r="L1544" s="190"/>
      <c r="M1544" s="191"/>
      <c r="N1544" s="172"/>
      <c r="O1544" s="172"/>
      <c r="P1544" s="172"/>
      <c r="Q1544" s="172"/>
    </row>
    <row r="1545" spans="6:17" s="170" customFormat="1" x14ac:dyDescent="0.2">
      <c r="F1545" s="187"/>
      <c r="G1545" s="187"/>
      <c r="H1545" s="188"/>
      <c r="I1545" s="189"/>
      <c r="J1545" s="190"/>
      <c r="K1545" s="190"/>
      <c r="L1545" s="190"/>
      <c r="M1545" s="191"/>
      <c r="N1545" s="172"/>
      <c r="O1545" s="172"/>
      <c r="P1545" s="172"/>
      <c r="Q1545" s="172"/>
    </row>
    <row r="1546" spans="6:17" s="170" customFormat="1" x14ac:dyDescent="0.2">
      <c r="F1546" s="187"/>
      <c r="G1546" s="187"/>
      <c r="H1546" s="188"/>
      <c r="I1546" s="189"/>
      <c r="J1546" s="190"/>
      <c r="K1546" s="190"/>
      <c r="L1546" s="190"/>
      <c r="M1546" s="191"/>
      <c r="N1546" s="172"/>
      <c r="O1546" s="172"/>
      <c r="P1546" s="172"/>
      <c r="Q1546" s="172"/>
    </row>
    <row r="1547" spans="6:17" s="170" customFormat="1" x14ac:dyDescent="0.2">
      <c r="F1547" s="187"/>
      <c r="G1547" s="187"/>
      <c r="H1547" s="188"/>
      <c r="I1547" s="189"/>
      <c r="J1547" s="190"/>
      <c r="K1547" s="190"/>
      <c r="L1547" s="190"/>
      <c r="M1547" s="191"/>
      <c r="N1547" s="172"/>
      <c r="O1547" s="172"/>
      <c r="P1547" s="172"/>
      <c r="Q1547" s="172"/>
    </row>
    <row r="1548" spans="6:17" s="170" customFormat="1" x14ac:dyDescent="0.2">
      <c r="F1548" s="187"/>
      <c r="G1548" s="187"/>
      <c r="H1548" s="188"/>
      <c r="I1548" s="189"/>
      <c r="J1548" s="190"/>
      <c r="K1548" s="190"/>
      <c r="L1548" s="190"/>
      <c r="M1548" s="191"/>
      <c r="N1548" s="172"/>
      <c r="O1548" s="172"/>
      <c r="P1548" s="172"/>
      <c r="Q1548" s="172"/>
    </row>
    <row r="1549" spans="6:17" s="170" customFormat="1" x14ac:dyDescent="0.2">
      <c r="F1549" s="187"/>
      <c r="G1549" s="187"/>
      <c r="H1549" s="188"/>
      <c r="I1549" s="189"/>
      <c r="J1549" s="190"/>
      <c r="K1549" s="190"/>
      <c r="L1549" s="190"/>
      <c r="M1549" s="191"/>
      <c r="N1549" s="172"/>
      <c r="O1549" s="172"/>
      <c r="P1549" s="172"/>
      <c r="Q1549" s="172"/>
    </row>
    <row r="1550" spans="6:17" s="170" customFormat="1" x14ac:dyDescent="0.2">
      <c r="F1550" s="187"/>
      <c r="G1550" s="187"/>
      <c r="H1550" s="188"/>
      <c r="I1550" s="189"/>
      <c r="J1550" s="190"/>
      <c r="K1550" s="190"/>
      <c r="L1550" s="190"/>
      <c r="M1550" s="191"/>
      <c r="N1550" s="172"/>
      <c r="O1550" s="172"/>
      <c r="P1550" s="172"/>
      <c r="Q1550" s="172"/>
    </row>
    <row r="1551" spans="6:17" s="170" customFormat="1" x14ac:dyDescent="0.2">
      <c r="F1551" s="187"/>
      <c r="G1551" s="187"/>
      <c r="H1551" s="188"/>
      <c r="I1551" s="189"/>
      <c r="J1551" s="190"/>
      <c r="K1551" s="190"/>
      <c r="L1551" s="190"/>
      <c r="M1551" s="191"/>
      <c r="N1551" s="172"/>
      <c r="O1551" s="172"/>
      <c r="P1551" s="172"/>
      <c r="Q1551" s="172"/>
    </row>
    <row r="1552" spans="6:17" s="170" customFormat="1" x14ac:dyDescent="0.2">
      <c r="F1552" s="187"/>
      <c r="G1552" s="187"/>
      <c r="H1552" s="188"/>
      <c r="I1552" s="189"/>
      <c r="J1552" s="190"/>
      <c r="K1552" s="190"/>
      <c r="L1552" s="190"/>
      <c r="M1552" s="191"/>
      <c r="N1552" s="172"/>
      <c r="O1552" s="172"/>
      <c r="P1552" s="172"/>
      <c r="Q1552" s="172"/>
    </row>
    <row r="1553" spans="6:17" s="170" customFormat="1" x14ac:dyDescent="0.2">
      <c r="F1553" s="187"/>
      <c r="G1553" s="187"/>
      <c r="H1553" s="188"/>
      <c r="I1553" s="189"/>
      <c r="J1553" s="190"/>
      <c r="K1553" s="190"/>
      <c r="L1553" s="190"/>
      <c r="M1553" s="191"/>
      <c r="N1553" s="172"/>
      <c r="O1553" s="172"/>
      <c r="P1553" s="172"/>
      <c r="Q1553" s="172"/>
    </row>
    <row r="1554" spans="6:17" s="170" customFormat="1" x14ac:dyDescent="0.2">
      <c r="F1554" s="187"/>
      <c r="G1554" s="187"/>
      <c r="H1554" s="188"/>
      <c r="I1554" s="189"/>
      <c r="J1554" s="190"/>
      <c r="K1554" s="190"/>
      <c r="L1554" s="190"/>
      <c r="M1554" s="191"/>
      <c r="N1554" s="172"/>
      <c r="O1554" s="172"/>
      <c r="P1554" s="172"/>
      <c r="Q1554" s="172"/>
    </row>
    <row r="1555" spans="6:17" s="170" customFormat="1" x14ac:dyDescent="0.2">
      <c r="F1555" s="187"/>
      <c r="G1555" s="187"/>
      <c r="H1555" s="188"/>
      <c r="I1555" s="189"/>
      <c r="J1555" s="190"/>
      <c r="K1555" s="190"/>
      <c r="L1555" s="190"/>
      <c r="M1555" s="191"/>
      <c r="N1555" s="172"/>
      <c r="O1555" s="172"/>
      <c r="P1555" s="172"/>
      <c r="Q1555" s="172"/>
    </row>
    <row r="1556" spans="6:17" s="170" customFormat="1" x14ac:dyDescent="0.2">
      <c r="F1556" s="187"/>
      <c r="G1556" s="187"/>
      <c r="H1556" s="188"/>
      <c r="I1556" s="189"/>
      <c r="J1556" s="190"/>
      <c r="K1556" s="190"/>
      <c r="L1556" s="190"/>
      <c r="M1556" s="191"/>
      <c r="N1556" s="172"/>
      <c r="O1556" s="172"/>
      <c r="P1556" s="172"/>
      <c r="Q1556" s="172"/>
    </row>
    <row r="1557" spans="6:17" s="170" customFormat="1" x14ac:dyDescent="0.2">
      <c r="F1557" s="187"/>
      <c r="G1557" s="187"/>
      <c r="H1557" s="188"/>
      <c r="I1557" s="189"/>
      <c r="J1557" s="190"/>
      <c r="K1557" s="190"/>
      <c r="L1557" s="190"/>
      <c r="M1557" s="191"/>
      <c r="N1557" s="172"/>
      <c r="O1557" s="172"/>
      <c r="P1557" s="172"/>
      <c r="Q1557" s="172"/>
    </row>
    <row r="1558" spans="6:17" s="170" customFormat="1" x14ac:dyDescent="0.2">
      <c r="F1558" s="187"/>
      <c r="G1558" s="187"/>
      <c r="H1558" s="188"/>
      <c r="I1558" s="189"/>
      <c r="J1558" s="190"/>
      <c r="K1558" s="190"/>
      <c r="L1558" s="190"/>
      <c r="M1558" s="191"/>
      <c r="N1558" s="172"/>
      <c r="O1558" s="172"/>
      <c r="P1558" s="172"/>
      <c r="Q1558" s="172"/>
    </row>
    <row r="1559" spans="6:17" s="170" customFormat="1" x14ac:dyDescent="0.2">
      <c r="F1559" s="187"/>
      <c r="G1559" s="187"/>
      <c r="H1559" s="188"/>
      <c r="I1559" s="189"/>
      <c r="J1559" s="190"/>
      <c r="K1559" s="190"/>
      <c r="L1559" s="190"/>
      <c r="M1559" s="191"/>
      <c r="N1559" s="172"/>
      <c r="O1559" s="172"/>
      <c r="P1559" s="172"/>
      <c r="Q1559" s="172"/>
    </row>
    <row r="1560" spans="6:17" s="170" customFormat="1" x14ac:dyDescent="0.2">
      <c r="F1560" s="187"/>
      <c r="G1560" s="187"/>
      <c r="H1560" s="188"/>
      <c r="I1560" s="189"/>
      <c r="J1560" s="190"/>
      <c r="K1560" s="190"/>
      <c r="L1560" s="190"/>
      <c r="M1560" s="191"/>
      <c r="N1560" s="172"/>
      <c r="O1560" s="172"/>
      <c r="P1560" s="172"/>
      <c r="Q1560" s="172"/>
    </row>
    <row r="1561" spans="6:17" s="170" customFormat="1" x14ac:dyDescent="0.2">
      <c r="F1561" s="187"/>
      <c r="G1561" s="187"/>
      <c r="H1561" s="188"/>
      <c r="I1561" s="189"/>
      <c r="J1561" s="190"/>
      <c r="K1561" s="190"/>
      <c r="L1561" s="190"/>
      <c r="M1561" s="191"/>
      <c r="N1561" s="172"/>
      <c r="O1561" s="172"/>
      <c r="P1561" s="172"/>
      <c r="Q1561" s="172"/>
    </row>
    <row r="1562" spans="6:17" s="170" customFormat="1" x14ac:dyDescent="0.2">
      <c r="F1562" s="187"/>
      <c r="G1562" s="187"/>
      <c r="H1562" s="188"/>
      <c r="I1562" s="189"/>
      <c r="J1562" s="190"/>
      <c r="K1562" s="190"/>
      <c r="L1562" s="190"/>
      <c r="M1562" s="191"/>
      <c r="N1562" s="172"/>
      <c r="O1562" s="172"/>
      <c r="P1562" s="172"/>
      <c r="Q1562" s="172"/>
    </row>
    <row r="1563" spans="6:17" s="170" customFormat="1" x14ac:dyDescent="0.2">
      <c r="F1563" s="187"/>
      <c r="G1563" s="187"/>
      <c r="H1563" s="188"/>
      <c r="I1563" s="189"/>
      <c r="J1563" s="190"/>
      <c r="K1563" s="190"/>
      <c r="L1563" s="190"/>
      <c r="M1563" s="191"/>
      <c r="N1563" s="172"/>
      <c r="O1563" s="172"/>
      <c r="P1563" s="172"/>
      <c r="Q1563" s="172"/>
    </row>
    <row r="1564" spans="6:17" s="170" customFormat="1" x14ac:dyDescent="0.2">
      <c r="F1564" s="187"/>
      <c r="G1564" s="187"/>
      <c r="H1564" s="188"/>
      <c r="I1564" s="189"/>
      <c r="J1564" s="190"/>
      <c r="K1564" s="190"/>
      <c r="L1564" s="190"/>
      <c r="M1564" s="191"/>
      <c r="N1564" s="172"/>
      <c r="O1564" s="172"/>
      <c r="P1564" s="172"/>
      <c r="Q1564" s="172"/>
    </row>
    <row r="1565" spans="6:17" s="170" customFormat="1" x14ac:dyDescent="0.2">
      <c r="F1565" s="187"/>
      <c r="G1565" s="187"/>
      <c r="H1565" s="188"/>
      <c r="I1565" s="189"/>
      <c r="J1565" s="190"/>
      <c r="K1565" s="190"/>
      <c r="L1565" s="190"/>
      <c r="M1565" s="191"/>
      <c r="N1565" s="172"/>
      <c r="O1565" s="172"/>
      <c r="P1565" s="172"/>
      <c r="Q1565" s="172"/>
    </row>
    <row r="1566" spans="6:17" s="170" customFormat="1" x14ac:dyDescent="0.2">
      <c r="F1566" s="187"/>
      <c r="G1566" s="187"/>
      <c r="H1566" s="188"/>
      <c r="I1566" s="189"/>
      <c r="J1566" s="190"/>
      <c r="K1566" s="190"/>
      <c r="L1566" s="190"/>
      <c r="M1566" s="191"/>
      <c r="N1566" s="172"/>
      <c r="O1566" s="172"/>
      <c r="P1566" s="172"/>
      <c r="Q1566" s="172"/>
    </row>
    <row r="1567" spans="6:17" s="170" customFormat="1" x14ac:dyDescent="0.2">
      <c r="F1567" s="187"/>
      <c r="G1567" s="187"/>
      <c r="H1567" s="188"/>
      <c r="I1567" s="189"/>
      <c r="J1567" s="190"/>
      <c r="K1567" s="190"/>
      <c r="L1567" s="190"/>
      <c r="M1567" s="191"/>
      <c r="N1567" s="172"/>
      <c r="O1567" s="172"/>
      <c r="P1567" s="172"/>
      <c r="Q1567" s="172"/>
    </row>
    <row r="1568" spans="6:17" s="170" customFormat="1" x14ac:dyDescent="0.2">
      <c r="F1568" s="187"/>
      <c r="G1568" s="187"/>
      <c r="H1568" s="188"/>
      <c r="I1568" s="189"/>
      <c r="J1568" s="190"/>
      <c r="K1568" s="190"/>
      <c r="L1568" s="190"/>
      <c r="M1568" s="191"/>
      <c r="N1568" s="172"/>
      <c r="O1568" s="172"/>
      <c r="P1568" s="172"/>
      <c r="Q1568" s="172"/>
    </row>
    <row r="1569" spans="6:17" s="170" customFormat="1" x14ac:dyDescent="0.2">
      <c r="F1569" s="187"/>
      <c r="G1569" s="187"/>
      <c r="H1569" s="188"/>
      <c r="I1569" s="189"/>
      <c r="J1569" s="190"/>
      <c r="K1569" s="190"/>
      <c r="L1569" s="190"/>
      <c r="M1569" s="191"/>
      <c r="N1569" s="172"/>
      <c r="O1569" s="172"/>
      <c r="P1569" s="172"/>
      <c r="Q1569" s="172"/>
    </row>
    <row r="1570" spans="6:17" s="170" customFormat="1" x14ac:dyDescent="0.2">
      <c r="F1570" s="187"/>
      <c r="G1570" s="187"/>
      <c r="H1570" s="188"/>
      <c r="I1570" s="189"/>
      <c r="J1570" s="190"/>
      <c r="K1570" s="190"/>
      <c r="L1570" s="190"/>
      <c r="M1570" s="191"/>
      <c r="N1570" s="172"/>
      <c r="O1570" s="172"/>
      <c r="P1570" s="172"/>
      <c r="Q1570" s="172"/>
    </row>
    <row r="1571" spans="6:17" s="170" customFormat="1" x14ac:dyDescent="0.2">
      <c r="F1571" s="187"/>
      <c r="G1571" s="187"/>
      <c r="H1571" s="188"/>
      <c r="I1571" s="189"/>
      <c r="J1571" s="190"/>
      <c r="K1571" s="190"/>
      <c r="L1571" s="190"/>
      <c r="M1571" s="191"/>
      <c r="N1571" s="172"/>
      <c r="O1571" s="172"/>
      <c r="P1571" s="172"/>
      <c r="Q1571" s="172"/>
    </row>
    <row r="1572" spans="6:17" s="170" customFormat="1" x14ac:dyDescent="0.2">
      <c r="F1572" s="187"/>
      <c r="G1572" s="187"/>
      <c r="H1572" s="188"/>
      <c r="I1572" s="189"/>
      <c r="J1572" s="190"/>
      <c r="K1572" s="190"/>
      <c r="L1572" s="190"/>
      <c r="M1572" s="191"/>
      <c r="N1572" s="172"/>
      <c r="O1572" s="172"/>
      <c r="P1572" s="172"/>
      <c r="Q1572" s="172"/>
    </row>
    <row r="1573" spans="6:17" s="170" customFormat="1" x14ac:dyDescent="0.2">
      <c r="F1573" s="187"/>
      <c r="G1573" s="187"/>
      <c r="H1573" s="188"/>
      <c r="I1573" s="189"/>
      <c r="J1573" s="190"/>
      <c r="K1573" s="190"/>
      <c r="L1573" s="190"/>
      <c r="M1573" s="191"/>
      <c r="N1573" s="172"/>
      <c r="O1573" s="172"/>
      <c r="P1573" s="172"/>
      <c r="Q1573" s="172"/>
    </row>
    <row r="1574" spans="6:17" s="170" customFormat="1" x14ac:dyDescent="0.2">
      <c r="F1574" s="187"/>
      <c r="G1574" s="187"/>
      <c r="H1574" s="188"/>
      <c r="I1574" s="189"/>
      <c r="J1574" s="190"/>
      <c r="K1574" s="190"/>
      <c r="L1574" s="190"/>
      <c r="M1574" s="191"/>
      <c r="N1574" s="172"/>
      <c r="O1574" s="172"/>
      <c r="P1574" s="172"/>
      <c r="Q1574" s="172"/>
    </row>
    <row r="1575" spans="6:17" s="170" customFormat="1" x14ac:dyDescent="0.2">
      <c r="F1575" s="187"/>
      <c r="G1575" s="187"/>
      <c r="H1575" s="188"/>
      <c r="I1575" s="189"/>
      <c r="J1575" s="190"/>
      <c r="K1575" s="190"/>
      <c r="L1575" s="190"/>
      <c r="M1575" s="191"/>
      <c r="N1575" s="172"/>
      <c r="O1575" s="172"/>
      <c r="P1575" s="172"/>
      <c r="Q1575" s="172"/>
    </row>
    <row r="1576" spans="6:17" s="170" customFormat="1" x14ac:dyDescent="0.2">
      <c r="F1576" s="187"/>
      <c r="G1576" s="187"/>
      <c r="H1576" s="188"/>
      <c r="I1576" s="189"/>
      <c r="J1576" s="190"/>
      <c r="K1576" s="190"/>
      <c r="L1576" s="190"/>
      <c r="M1576" s="191"/>
      <c r="N1576" s="172"/>
      <c r="O1576" s="172"/>
      <c r="P1576" s="172"/>
      <c r="Q1576" s="172"/>
    </row>
    <row r="1577" spans="6:17" s="170" customFormat="1" x14ac:dyDescent="0.2">
      <c r="F1577" s="187"/>
      <c r="G1577" s="187"/>
      <c r="H1577" s="188"/>
      <c r="I1577" s="189"/>
      <c r="J1577" s="190"/>
      <c r="K1577" s="190"/>
      <c r="L1577" s="190"/>
      <c r="M1577" s="191"/>
      <c r="N1577" s="172"/>
      <c r="O1577" s="172"/>
      <c r="P1577" s="172"/>
      <c r="Q1577" s="172"/>
    </row>
    <row r="1578" spans="6:17" s="170" customFormat="1" x14ac:dyDescent="0.2">
      <c r="F1578" s="187"/>
      <c r="G1578" s="187"/>
      <c r="H1578" s="188"/>
      <c r="I1578" s="189"/>
      <c r="J1578" s="190"/>
      <c r="K1578" s="190"/>
      <c r="L1578" s="190"/>
      <c r="M1578" s="191"/>
      <c r="N1578" s="172"/>
      <c r="O1578" s="172"/>
      <c r="P1578" s="172"/>
      <c r="Q1578" s="172"/>
    </row>
    <row r="1579" spans="6:17" s="170" customFormat="1" x14ac:dyDescent="0.2">
      <c r="F1579" s="187"/>
      <c r="G1579" s="187"/>
      <c r="H1579" s="188"/>
      <c r="I1579" s="189"/>
      <c r="J1579" s="190"/>
      <c r="K1579" s="190"/>
      <c r="L1579" s="190"/>
      <c r="M1579" s="191"/>
      <c r="N1579" s="172"/>
      <c r="O1579" s="172"/>
      <c r="P1579" s="172"/>
      <c r="Q1579" s="172"/>
    </row>
    <row r="1580" spans="6:17" s="170" customFormat="1" x14ac:dyDescent="0.2">
      <c r="F1580" s="187"/>
      <c r="G1580" s="187"/>
      <c r="H1580" s="188"/>
      <c r="I1580" s="189"/>
      <c r="J1580" s="190"/>
      <c r="K1580" s="190"/>
      <c r="L1580" s="190"/>
      <c r="M1580" s="191"/>
      <c r="N1580" s="172"/>
      <c r="O1580" s="172"/>
      <c r="P1580" s="172"/>
      <c r="Q1580" s="172"/>
    </row>
    <row r="1581" spans="6:17" s="170" customFormat="1" x14ac:dyDescent="0.2">
      <c r="F1581" s="187"/>
      <c r="G1581" s="187"/>
      <c r="H1581" s="188"/>
      <c r="I1581" s="189"/>
      <c r="J1581" s="190"/>
      <c r="K1581" s="190"/>
      <c r="L1581" s="190"/>
      <c r="M1581" s="191"/>
      <c r="N1581" s="172"/>
      <c r="O1581" s="172"/>
      <c r="P1581" s="172"/>
      <c r="Q1581" s="172"/>
    </row>
    <row r="1582" spans="6:17" s="170" customFormat="1" x14ac:dyDescent="0.2">
      <c r="F1582" s="187"/>
      <c r="G1582" s="187"/>
      <c r="H1582" s="188"/>
      <c r="I1582" s="189"/>
      <c r="J1582" s="190"/>
      <c r="K1582" s="190"/>
      <c r="L1582" s="190"/>
      <c r="M1582" s="191"/>
      <c r="N1582" s="172"/>
      <c r="O1582" s="172"/>
      <c r="P1582" s="172"/>
      <c r="Q1582" s="172"/>
    </row>
    <row r="1583" spans="6:17" s="170" customFormat="1" x14ac:dyDescent="0.2">
      <c r="F1583" s="187"/>
      <c r="G1583" s="187"/>
      <c r="H1583" s="188"/>
      <c r="I1583" s="189"/>
      <c r="J1583" s="190"/>
      <c r="K1583" s="190"/>
      <c r="L1583" s="190"/>
      <c r="M1583" s="191"/>
      <c r="N1583" s="172"/>
      <c r="O1583" s="172"/>
      <c r="P1583" s="172"/>
      <c r="Q1583" s="172"/>
    </row>
    <row r="1584" spans="6:17" s="170" customFormat="1" x14ac:dyDescent="0.2">
      <c r="F1584" s="187"/>
      <c r="G1584" s="187"/>
      <c r="H1584" s="188"/>
      <c r="I1584" s="189"/>
      <c r="J1584" s="190"/>
      <c r="K1584" s="190"/>
      <c r="L1584" s="190"/>
      <c r="M1584" s="191"/>
      <c r="N1584" s="172"/>
      <c r="O1584" s="172"/>
      <c r="P1584" s="172"/>
      <c r="Q1584" s="172"/>
    </row>
    <row r="1585" spans="6:17" s="170" customFormat="1" x14ac:dyDescent="0.2">
      <c r="F1585" s="187"/>
      <c r="G1585" s="187"/>
      <c r="H1585" s="188"/>
      <c r="I1585" s="189"/>
      <c r="J1585" s="190"/>
      <c r="K1585" s="190"/>
      <c r="L1585" s="190"/>
      <c r="M1585" s="191"/>
      <c r="N1585" s="172"/>
      <c r="O1585" s="172"/>
      <c r="P1585" s="172"/>
      <c r="Q1585" s="172"/>
    </row>
    <row r="1586" spans="6:17" s="170" customFormat="1" x14ac:dyDescent="0.2">
      <c r="F1586" s="187"/>
      <c r="G1586" s="187"/>
      <c r="H1586" s="188"/>
      <c r="I1586" s="189"/>
      <c r="J1586" s="190"/>
      <c r="K1586" s="190"/>
      <c r="L1586" s="190"/>
      <c r="M1586" s="191"/>
      <c r="N1586" s="172"/>
      <c r="O1586" s="172"/>
      <c r="P1586" s="172"/>
      <c r="Q1586" s="172"/>
    </row>
    <row r="1587" spans="6:17" s="170" customFormat="1" x14ac:dyDescent="0.2">
      <c r="F1587" s="187"/>
      <c r="G1587" s="187"/>
      <c r="H1587" s="188"/>
      <c r="I1587" s="189"/>
      <c r="J1587" s="190"/>
      <c r="K1587" s="190"/>
      <c r="L1587" s="190"/>
      <c r="M1587" s="191"/>
      <c r="N1587" s="172"/>
      <c r="O1587" s="172"/>
      <c r="P1587" s="172"/>
      <c r="Q1587" s="172"/>
    </row>
    <row r="1588" spans="6:17" s="170" customFormat="1" x14ac:dyDescent="0.2">
      <c r="F1588" s="187"/>
      <c r="G1588" s="187"/>
      <c r="H1588" s="188"/>
      <c r="I1588" s="189"/>
      <c r="J1588" s="190"/>
      <c r="K1588" s="190"/>
      <c r="L1588" s="190"/>
      <c r="M1588" s="191"/>
      <c r="N1588" s="172"/>
      <c r="O1588" s="172"/>
      <c r="P1588" s="172"/>
      <c r="Q1588" s="172"/>
    </row>
    <row r="1589" spans="6:17" s="170" customFormat="1" x14ac:dyDescent="0.2">
      <c r="F1589" s="187"/>
      <c r="G1589" s="187"/>
      <c r="H1589" s="188"/>
      <c r="I1589" s="189"/>
      <c r="J1589" s="190"/>
      <c r="K1589" s="190"/>
      <c r="L1589" s="190"/>
      <c r="M1589" s="191"/>
      <c r="N1589" s="172"/>
      <c r="O1589" s="172"/>
      <c r="P1589" s="172"/>
      <c r="Q1589" s="172"/>
    </row>
    <row r="1590" spans="6:17" s="170" customFormat="1" x14ac:dyDescent="0.2">
      <c r="F1590" s="187"/>
      <c r="G1590" s="187"/>
      <c r="H1590" s="188"/>
      <c r="I1590" s="189"/>
      <c r="J1590" s="190"/>
      <c r="K1590" s="190"/>
      <c r="L1590" s="190"/>
      <c r="M1590" s="191"/>
      <c r="N1590" s="172"/>
      <c r="O1590" s="172"/>
      <c r="P1590" s="172"/>
      <c r="Q1590" s="172"/>
    </row>
    <row r="1591" spans="6:17" s="170" customFormat="1" x14ac:dyDescent="0.2">
      <c r="F1591" s="187"/>
      <c r="G1591" s="187"/>
      <c r="H1591" s="188"/>
      <c r="I1591" s="189"/>
      <c r="J1591" s="190"/>
      <c r="K1591" s="190"/>
      <c r="L1591" s="190"/>
      <c r="M1591" s="191"/>
      <c r="N1591" s="172"/>
      <c r="O1591" s="172"/>
      <c r="P1591" s="172"/>
      <c r="Q1591" s="172"/>
    </row>
    <row r="1592" spans="6:17" s="170" customFormat="1" x14ac:dyDescent="0.2">
      <c r="F1592" s="187"/>
      <c r="G1592" s="187"/>
      <c r="H1592" s="188"/>
      <c r="I1592" s="189"/>
      <c r="J1592" s="190"/>
      <c r="K1592" s="190"/>
      <c r="L1592" s="190"/>
      <c r="M1592" s="191"/>
      <c r="N1592" s="172"/>
      <c r="O1592" s="172"/>
      <c r="P1592" s="172"/>
      <c r="Q1592" s="172"/>
    </row>
    <row r="1593" spans="6:17" s="170" customFormat="1" x14ac:dyDescent="0.2">
      <c r="F1593" s="187"/>
      <c r="G1593" s="187"/>
      <c r="H1593" s="188"/>
      <c r="I1593" s="189"/>
      <c r="J1593" s="190"/>
      <c r="K1593" s="190"/>
      <c r="L1593" s="190"/>
      <c r="M1593" s="191"/>
      <c r="N1593" s="172"/>
      <c r="O1593" s="172"/>
      <c r="P1593" s="172"/>
      <c r="Q1593" s="172"/>
    </row>
    <row r="1594" spans="6:17" s="170" customFormat="1" x14ac:dyDescent="0.2">
      <c r="F1594" s="187"/>
      <c r="G1594" s="187"/>
      <c r="H1594" s="188"/>
      <c r="I1594" s="189"/>
      <c r="J1594" s="190"/>
      <c r="K1594" s="190"/>
      <c r="L1594" s="190"/>
      <c r="M1594" s="191"/>
      <c r="N1594" s="172"/>
      <c r="O1594" s="172"/>
      <c r="P1594" s="172"/>
      <c r="Q1594" s="172"/>
    </row>
    <row r="1595" spans="6:17" s="170" customFormat="1" x14ac:dyDescent="0.2">
      <c r="F1595" s="187"/>
      <c r="G1595" s="187"/>
      <c r="H1595" s="188"/>
      <c r="I1595" s="189"/>
      <c r="J1595" s="190"/>
      <c r="K1595" s="190"/>
      <c r="L1595" s="190"/>
      <c r="M1595" s="191"/>
      <c r="N1595" s="172"/>
      <c r="O1595" s="172"/>
      <c r="P1595" s="172"/>
      <c r="Q1595" s="172"/>
    </row>
    <row r="1596" spans="6:17" s="170" customFormat="1" x14ac:dyDescent="0.2">
      <c r="F1596" s="187"/>
      <c r="G1596" s="187"/>
      <c r="H1596" s="188"/>
      <c r="I1596" s="189"/>
      <c r="J1596" s="190"/>
      <c r="K1596" s="190"/>
      <c r="L1596" s="190"/>
      <c r="M1596" s="191"/>
      <c r="N1596" s="172"/>
      <c r="O1596" s="172"/>
      <c r="P1596" s="172"/>
      <c r="Q1596" s="172"/>
    </row>
    <row r="1597" spans="6:17" s="170" customFormat="1" x14ac:dyDescent="0.2">
      <c r="F1597" s="187"/>
      <c r="G1597" s="187"/>
      <c r="H1597" s="188"/>
      <c r="I1597" s="189"/>
      <c r="J1597" s="190"/>
      <c r="K1597" s="190"/>
      <c r="L1597" s="190"/>
      <c r="M1597" s="191"/>
      <c r="N1597" s="172"/>
      <c r="O1597" s="172"/>
      <c r="P1597" s="172"/>
      <c r="Q1597" s="172"/>
    </row>
    <row r="1598" spans="6:17" s="170" customFormat="1" x14ac:dyDescent="0.2">
      <c r="F1598" s="187"/>
      <c r="G1598" s="187"/>
      <c r="H1598" s="188"/>
      <c r="I1598" s="189"/>
      <c r="J1598" s="190"/>
      <c r="K1598" s="190"/>
      <c r="L1598" s="190"/>
      <c r="M1598" s="191"/>
      <c r="N1598" s="172"/>
      <c r="O1598" s="172"/>
      <c r="P1598" s="172"/>
      <c r="Q1598" s="172"/>
    </row>
    <row r="1599" spans="6:17" s="170" customFormat="1" x14ac:dyDescent="0.2">
      <c r="F1599" s="187"/>
      <c r="G1599" s="187"/>
      <c r="H1599" s="188"/>
      <c r="I1599" s="189"/>
      <c r="J1599" s="190"/>
      <c r="K1599" s="190"/>
      <c r="L1599" s="190"/>
      <c r="M1599" s="191"/>
      <c r="N1599" s="172"/>
      <c r="O1599" s="172"/>
      <c r="P1599" s="172"/>
      <c r="Q1599" s="172"/>
    </row>
    <row r="1600" spans="6:17" s="170" customFormat="1" x14ac:dyDescent="0.2">
      <c r="F1600" s="187"/>
      <c r="G1600" s="187"/>
      <c r="H1600" s="188"/>
      <c r="I1600" s="189"/>
      <c r="J1600" s="190"/>
      <c r="K1600" s="190"/>
      <c r="L1600" s="190"/>
      <c r="M1600" s="191"/>
      <c r="N1600" s="172"/>
      <c r="O1600" s="172"/>
      <c r="P1600" s="172"/>
      <c r="Q1600" s="172"/>
    </row>
    <row r="1601" spans="6:17" s="170" customFormat="1" x14ac:dyDescent="0.2">
      <c r="F1601" s="187"/>
      <c r="G1601" s="187"/>
      <c r="H1601" s="188"/>
      <c r="I1601" s="189"/>
      <c r="J1601" s="190"/>
      <c r="K1601" s="190"/>
      <c r="L1601" s="190"/>
      <c r="M1601" s="191"/>
      <c r="N1601" s="172"/>
      <c r="O1601" s="172"/>
      <c r="P1601" s="172"/>
      <c r="Q1601" s="172"/>
    </row>
    <row r="1602" spans="6:17" s="170" customFormat="1" x14ac:dyDescent="0.2">
      <c r="F1602" s="187"/>
      <c r="G1602" s="187"/>
      <c r="H1602" s="188"/>
      <c r="I1602" s="189"/>
      <c r="J1602" s="190"/>
      <c r="K1602" s="190"/>
      <c r="L1602" s="190"/>
      <c r="M1602" s="191"/>
      <c r="N1602" s="172"/>
      <c r="O1602" s="172"/>
      <c r="P1602" s="172"/>
      <c r="Q1602" s="172"/>
    </row>
    <row r="1603" spans="6:17" s="170" customFormat="1" x14ac:dyDescent="0.2">
      <c r="F1603" s="187"/>
      <c r="G1603" s="187"/>
      <c r="H1603" s="188"/>
      <c r="I1603" s="189"/>
      <c r="J1603" s="190"/>
      <c r="K1603" s="190"/>
      <c r="L1603" s="190"/>
      <c r="M1603" s="191"/>
      <c r="N1603" s="172"/>
      <c r="O1603" s="172"/>
      <c r="P1603" s="172"/>
      <c r="Q1603" s="172"/>
    </row>
    <row r="1604" spans="6:17" s="170" customFormat="1" x14ac:dyDescent="0.2">
      <c r="F1604" s="187"/>
      <c r="G1604" s="187"/>
      <c r="H1604" s="188"/>
      <c r="I1604" s="189"/>
      <c r="J1604" s="190"/>
      <c r="K1604" s="190"/>
      <c r="L1604" s="190"/>
      <c r="M1604" s="191"/>
      <c r="N1604" s="172"/>
      <c r="O1604" s="172"/>
      <c r="P1604" s="172"/>
      <c r="Q1604" s="172"/>
    </row>
    <row r="1605" spans="6:17" s="170" customFormat="1" x14ac:dyDescent="0.2">
      <c r="F1605" s="187"/>
      <c r="G1605" s="187"/>
      <c r="H1605" s="188"/>
      <c r="I1605" s="189"/>
      <c r="J1605" s="190"/>
      <c r="K1605" s="190"/>
      <c r="L1605" s="190"/>
      <c r="M1605" s="191"/>
      <c r="N1605" s="172"/>
      <c r="O1605" s="172"/>
      <c r="P1605" s="172"/>
      <c r="Q1605" s="172"/>
    </row>
    <row r="1606" spans="6:17" s="170" customFormat="1" x14ac:dyDescent="0.2">
      <c r="F1606" s="187"/>
      <c r="G1606" s="187"/>
      <c r="H1606" s="188"/>
      <c r="I1606" s="189"/>
      <c r="J1606" s="190"/>
      <c r="K1606" s="190"/>
      <c r="L1606" s="190"/>
      <c r="M1606" s="191"/>
      <c r="N1606" s="172"/>
      <c r="O1606" s="172"/>
      <c r="P1606" s="172"/>
      <c r="Q1606" s="172"/>
    </row>
    <row r="1607" spans="6:17" s="170" customFormat="1" x14ac:dyDescent="0.2">
      <c r="F1607" s="187"/>
      <c r="G1607" s="187"/>
      <c r="H1607" s="188"/>
      <c r="I1607" s="189"/>
      <c r="J1607" s="190"/>
      <c r="K1607" s="190"/>
      <c r="L1607" s="190"/>
      <c r="M1607" s="191"/>
      <c r="N1607" s="172"/>
      <c r="O1607" s="172"/>
      <c r="P1607" s="172"/>
      <c r="Q1607" s="172"/>
    </row>
    <row r="1608" spans="6:17" s="170" customFormat="1" x14ac:dyDescent="0.2">
      <c r="F1608" s="187"/>
      <c r="G1608" s="187"/>
      <c r="H1608" s="188"/>
      <c r="I1608" s="189"/>
      <c r="J1608" s="190"/>
      <c r="K1608" s="190"/>
      <c r="L1608" s="190"/>
      <c r="M1608" s="191"/>
      <c r="N1608" s="172"/>
      <c r="O1608" s="172"/>
      <c r="P1608" s="172"/>
      <c r="Q1608" s="172"/>
    </row>
    <row r="1609" spans="6:17" s="170" customFormat="1" x14ac:dyDescent="0.2">
      <c r="F1609" s="187"/>
      <c r="G1609" s="187"/>
      <c r="H1609" s="188"/>
      <c r="I1609" s="189"/>
      <c r="J1609" s="190"/>
      <c r="K1609" s="190"/>
      <c r="L1609" s="190"/>
      <c r="M1609" s="191"/>
      <c r="N1609" s="172"/>
      <c r="O1609" s="172"/>
      <c r="P1609" s="172"/>
      <c r="Q1609" s="172"/>
    </row>
    <row r="1610" spans="6:17" s="170" customFormat="1" x14ac:dyDescent="0.2">
      <c r="F1610" s="187"/>
      <c r="G1610" s="187"/>
      <c r="H1610" s="188"/>
      <c r="I1610" s="189"/>
      <c r="J1610" s="190"/>
      <c r="K1610" s="190"/>
      <c r="L1610" s="190"/>
      <c r="M1610" s="191"/>
      <c r="N1610" s="172"/>
      <c r="O1610" s="172"/>
      <c r="P1610" s="172"/>
      <c r="Q1610" s="172"/>
    </row>
    <row r="1611" spans="6:17" s="170" customFormat="1" x14ac:dyDescent="0.2">
      <c r="F1611" s="187"/>
      <c r="G1611" s="187"/>
      <c r="H1611" s="188"/>
      <c r="I1611" s="189"/>
      <c r="J1611" s="190"/>
      <c r="K1611" s="190"/>
      <c r="L1611" s="190"/>
      <c r="M1611" s="191"/>
      <c r="N1611" s="172"/>
      <c r="O1611" s="172"/>
      <c r="P1611" s="172"/>
      <c r="Q1611" s="172"/>
    </row>
    <row r="1612" spans="6:17" s="170" customFormat="1" x14ac:dyDescent="0.2">
      <c r="F1612" s="187"/>
      <c r="G1612" s="187"/>
      <c r="H1612" s="188"/>
      <c r="I1612" s="189"/>
      <c r="J1612" s="190"/>
      <c r="K1612" s="190"/>
      <c r="L1612" s="190"/>
      <c r="M1612" s="191"/>
      <c r="N1612" s="172"/>
      <c r="O1612" s="172"/>
      <c r="P1612" s="172"/>
      <c r="Q1612" s="172"/>
    </row>
    <row r="1613" spans="6:17" s="170" customFormat="1" x14ac:dyDescent="0.2">
      <c r="F1613" s="187"/>
      <c r="G1613" s="187"/>
      <c r="H1613" s="188"/>
      <c r="I1613" s="189"/>
      <c r="J1613" s="190"/>
      <c r="K1613" s="190"/>
      <c r="L1613" s="190"/>
      <c r="M1613" s="191"/>
      <c r="N1613" s="172"/>
      <c r="O1613" s="172"/>
      <c r="P1613" s="172"/>
      <c r="Q1613" s="172"/>
    </row>
    <row r="1614" spans="6:17" s="170" customFormat="1" x14ac:dyDescent="0.2">
      <c r="F1614" s="187"/>
      <c r="G1614" s="187"/>
      <c r="H1614" s="188"/>
      <c r="I1614" s="189"/>
      <c r="J1614" s="190"/>
      <c r="K1614" s="190"/>
      <c r="L1614" s="190"/>
      <c r="M1614" s="191"/>
      <c r="N1614" s="172"/>
      <c r="O1614" s="172"/>
      <c r="P1614" s="172"/>
      <c r="Q1614" s="172"/>
    </row>
    <row r="1615" spans="6:17" s="170" customFormat="1" x14ac:dyDescent="0.2">
      <c r="F1615" s="187"/>
      <c r="G1615" s="187"/>
      <c r="H1615" s="188"/>
      <c r="I1615" s="189"/>
      <c r="J1615" s="190"/>
      <c r="K1615" s="190"/>
      <c r="L1615" s="190"/>
      <c r="M1615" s="191"/>
      <c r="N1615" s="172"/>
      <c r="O1615" s="172"/>
      <c r="P1615" s="172"/>
      <c r="Q1615" s="172"/>
    </row>
    <row r="1616" spans="6:17" s="170" customFormat="1" x14ac:dyDescent="0.2">
      <c r="F1616" s="187"/>
      <c r="G1616" s="187"/>
      <c r="H1616" s="188"/>
      <c r="I1616" s="189"/>
      <c r="J1616" s="190"/>
      <c r="K1616" s="190"/>
      <c r="L1616" s="190"/>
      <c r="M1616" s="191"/>
      <c r="N1616" s="172"/>
      <c r="O1616" s="172"/>
      <c r="P1616" s="172"/>
      <c r="Q1616" s="172"/>
    </row>
    <row r="1617" spans="6:17" s="170" customFormat="1" x14ac:dyDescent="0.2">
      <c r="F1617" s="187"/>
      <c r="G1617" s="187"/>
      <c r="H1617" s="188"/>
      <c r="I1617" s="189"/>
      <c r="J1617" s="190"/>
      <c r="K1617" s="190"/>
      <c r="L1617" s="190"/>
      <c r="M1617" s="191"/>
      <c r="N1617" s="172"/>
      <c r="O1617" s="172"/>
      <c r="P1617" s="172"/>
      <c r="Q1617" s="172"/>
    </row>
    <row r="1618" spans="6:17" s="170" customFormat="1" x14ac:dyDescent="0.2">
      <c r="F1618" s="187"/>
      <c r="G1618" s="187"/>
      <c r="H1618" s="188"/>
      <c r="I1618" s="189"/>
      <c r="J1618" s="190"/>
      <c r="K1618" s="190"/>
      <c r="L1618" s="190"/>
      <c r="M1618" s="191"/>
      <c r="N1618" s="172"/>
      <c r="O1618" s="172"/>
      <c r="P1618" s="172"/>
      <c r="Q1618" s="172"/>
    </row>
    <row r="1619" spans="6:17" s="170" customFormat="1" x14ac:dyDescent="0.2">
      <c r="F1619" s="187"/>
      <c r="G1619" s="187"/>
      <c r="H1619" s="188"/>
      <c r="I1619" s="189"/>
      <c r="J1619" s="190"/>
      <c r="K1619" s="190"/>
      <c r="L1619" s="190"/>
      <c r="M1619" s="191"/>
      <c r="N1619" s="172"/>
      <c r="O1619" s="172"/>
      <c r="P1619" s="172"/>
      <c r="Q1619" s="172"/>
    </row>
    <row r="1620" spans="6:17" s="170" customFormat="1" x14ac:dyDescent="0.2">
      <c r="F1620" s="187"/>
      <c r="G1620" s="187"/>
      <c r="H1620" s="188"/>
      <c r="I1620" s="189"/>
      <c r="J1620" s="190"/>
      <c r="K1620" s="190"/>
      <c r="L1620" s="190"/>
      <c r="M1620" s="191"/>
      <c r="N1620" s="172"/>
      <c r="O1620" s="172"/>
      <c r="P1620" s="172"/>
      <c r="Q1620" s="172"/>
    </row>
    <row r="1621" spans="6:17" s="170" customFormat="1" x14ac:dyDescent="0.2">
      <c r="F1621" s="187"/>
      <c r="G1621" s="187"/>
      <c r="H1621" s="188"/>
      <c r="I1621" s="189"/>
      <c r="J1621" s="190"/>
      <c r="K1621" s="190"/>
      <c r="L1621" s="190"/>
      <c r="M1621" s="191"/>
      <c r="N1621" s="172"/>
      <c r="O1621" s="172"/>
      <c r="P1621" s="172"/>
      <c r="Q1621" s="172"/>
    </row>
    <row r="1622" spans="6:17" s="170" customFormat="1" x14ac:dyDescent="0.2">
      <c r="F1622" s="187"/>
      <c r="G1622" s="187"/>
      <c r="H1622" s="188"/>
      <c r="I1622" s="189"/>
      <c r="J1622" s="190"/>
      <c r="K1622" s="190"/>
      <c r="L1622" s="190"/>
      <c r="M1622" s="191"/>
      <c r="N1622" s="172"/>
      <c r="O1622" s="172"/>
      <c r="P1622" s="172"/>
      <c r="Q1622" s="172"/>
    </row>
    <row r="1623" spans="6:17" s="170" customFormat="1" x14ac:dyDescent="0.2">
      <c r="F1623" s="187"/>
      <c r="G1623" s="187"/>
      <c r="H1623" s="188"/>
      <c r="I1623" s="189"/>
      <c r="J1623" s="190"/>
      <c r="K1623" s="190"/>
      <c r="L1623" s="190"/>
      <c r="M1623" s="191"/>
      <c r="N1623" s="172"/>
      <c r="O1623" s="172"/>
      <c r="P1623" s="172"/>
      <c r="Q1623" s="172"/>
    </row>
    <row r="1624" spans="6:17" s="170" customFormat="1" x14ac:dyDescent="0.2">
      <c r="F1624" s="187"/>
      <c r="G1624" s="187"/>
      <c r="H1624" s="188"/>
      <c r="I1624" s="189"/>
      <c r="J1624" s="190"/>
      <c r="K1624" s="190"/>
      <c r="L1624" s="190"/>
      <c r="M1624" s="191"/>
      <c r="N1624" s="172"/>
      <c r="O1624" s="172"/>
      <c r="P1624" s="172"/>
      <c r="Q1624" s="172"/>
    </row>
    <row r="1625" spans="6:17" s="170" customFormat="1" x14ac:dyDescent="0.2">
      <c r="F1625" s="187"/>
      <c r="G1625" s="187"/>
      <c r="H1625" s="188"/>
      <c r="I1625" s="189"/>
      <c r="J1625" s="190"/>
      <c r="K1625" s="190"/>
      <c r="L1625" s="190"/>
      <c r="M1625" s="191"/>
      <c r="N1625" s="172"/>
      <c r="O1625" s="172"/>
      <c r="P1625" s="172"/>
      <c r="Q1625" s="172"/>
    </row>
    <row r="1626" spans="6:17" s="170" customFormat="1" x14ac:dyDescent="0.2">
      <c r="F1626" s="187"/>
      <c r="G1626" s="187"/>
      <c r="H1626" s="188"/>
      <c r="I1626" s="189"/>
      <c r="J1626" s="190"/>
      <c r="K1626" s="190"/>
      <c r="L1626" s="190"/>
      <c r="M1626" s="191"/>
      <c r="N1626" s="172"/>
      <c r="O1626" s="172"/>
      <c r="P1626" s="172"/>
      <c r="Q1626" s="172"/>
    </row>
    <row r="1627" spans="6:17" s="170" customFormat="1" x14ac:dyDescent="0.2">
      <c r="F1627" s="187"/>
      <c r="G1627" s="187"/>
      <c r="H1627" s="188"/>
      <c r="I1627" s="189"/>
      <c r="J1627" s="190"/>
      <c r="K1627" s="190"/>
      <c r="L1627" s="190"/>
      <c r="M1627" s="191"/>
      <c r="N1627" s="172"/>
      <c r="O1627" s="172"/>
      <c r="P1627" s="172"/>
      <c r="Q1627" s="172"/>
    </row>
    <row r="1628" spans="6:17" s="170" customFormat="1" x14ac:dyDescent="0.2">
      <c r="F1628" s="187"/>
      <c r="G1628" s="187"/>
      <c r="H1628" s="188"/>
      <c r="I1628" s="189"/>
      <c r="J1628" s="190"/>
      <c r="K1628" s="190"/>
      <c r="L1628" s="190"/>
      <c r="M1628" s="191"/>
      <c r="N1628" s="172"/>
      <c r="O1628" s="172"/>
      <c r="P1628" s="172"/>
      <c r="Q1628" s="172"/>
    </row>
    <row r="1629" spans="6:17" s="170" customFormat="1" x14ac:dyDescent="0.2">
      <c r="F1629" s="187"/>
      <c r="G1629" s="187"/>
      <c r="H1629" s="188"/>
      <c r="I1629" s="189"/>
      <c r="J1629" s="190"/>
      <c r="K1629" s="190"/>
      <c r="L1629" s="190"/>
      <c r="M1629" s="191"/>
      <c r="N1629" s="172"/>
      <c r="O1629" s="172"/>
      <c r="P1629" s="172"/>
      <c r="Q1629" s="172"/>
    </row>
    <row r="1630" spans="6:17" s="170" customFormat="1" x14ac:dyDescent="0.2">
      <c r="F1630" s="187"/>
      <c r="G1630" s="187"/>
      <c r="H1630" s="188"/>
      <c r="I1630" s="189"/>
      <c r="J1630" s="190"/>
      <c r="K1630" s="190"/>
      <c r="L1630" s="190"/>
      <c r="M1630" s="191"/>
      <c r="N1630" s="172"/>
      <c r="O1630" s="172"/>
      <c r="P1630" s="172"/>
      <c r="Q1630" s="172"/>
    </row>
    <row r="1631" spans="6:17" s="170" customFormat="1" x14ac:dyDescent="0.2">
      <c r="F1631" s="187"/>
      <c r="G1631" s="187"/>
      <c r="H1631" s="188"/>
      <c r="I1631" s="189"/>
      <c r="J1631" s="190"/>
      <c r="K1631" s="190"/>
      <c r="L1631" s="190"/>
      <c r="M1631" s="191"/>
      <c r="N1631" s="172"/>
      <c r="O1631" s="172"/>
      <c r="P1631" s="172"/>
      <c r="Q1631" s="172"/>
    </row>
    <row r="1632" spans="6:17" s="170" customFormat="1" x14ac:dyDescent="0.2">
      <c r="F1632" s="187"/>
      <c r="G1632" s="187"/>
      <c r="H1632" s="188"/>
      <c r="I1632" s="189"/>
      <c r="J1632" s="190"/>
      <c r="K1632" s="190"/>
      <c r="L1632" s="190"/>
      <c r="M1632" s="191"/>
      <c r="N1632" s="172"/>
      <c r="O1632" s="172"/>
      <c r="P1632" s="172"/>
      <c r="Q1632" s="172"/>
    </row>
    <row r="1633" spans="6:17" s="170" customFormat="1" x14ac:dyDescent="0.2">
      <c r="F1633" s="187"/>
      <c r="G1633" s="187"/>
      <c r="H1633" s="188"/>
      <c r="I1633" s="189"/>
      <c r="J1633" s="190"/>
      <c r="K1633" s="190"/>
      <c r="L1633" s="190"/>
      <c r="M1633" s="191"/>
      <c r="N1633" s="172"/>
      <c r="O1633" s="172"/>
      <c r="P1633" s="172"/>
      <c r="Q1633" s="172"/>
    </row>
    <row r="1634" spans="6:17" s="170" customFormat="1" x14ac:dyDescent="0.2">
      <c r="F1634" s="187"/>
      <c r="G1634" s="187"/>
      <c r="H1634" s="188"/>
      <c r="I1634" s="189"/>
      <c r="J1634" s="190"/>
      <c r="K1634" s="190"/>
      <c r="L1634" s="190"/>
      <c r="M1634" s="191"/>
      <c r="N1634" s="172"/>
      <c r="O1634" s="172"/>
      <c r="P1634" s="172"/>
      <c r="Q1634" s="172"/>
    </row>
    <row r="1635" spans="6:17" s="170" customFormat="1" x14ac:dyDescent="0.2">
      <c r="F1635" s="187"/>
      <c r="G1635" s="187"/>
      <c r="H1635" s="188"/>
      <c r="I1635" s="189"/>
      <c r="J1635" s="190"/>
      <c r="K1635" s="190"/>
      <c r="L1635" s="190"/>
      <c r="M1635" s="191"/>
      <c r="N1635" s="172"/>
      <c r="O1635" s="172"/>
      <c r="P1635" s="172"/>
      <c r="Q1635" s="172"/>
    </row>
    <row r="1636" spans="6:17" s="170" customFormat="1" x14ac:dyDescent="0.2">
      <c r="F1636" s="187"/>
      <c r="G1636" s="187"/>
      <c r="H1636" s="188"/>
      <c r="I1636" s="189"/>
      <c r="J1636" s="190"/>
      <c r="K1636" s="190"/>
      <c r="L1636" s="190"/>
      <c r="M1636" s="191"/>
      <c r="N1636" s="172"/>
      <c r="O1636" s="172"/>
      <c r="P1636" s="172"/>
      <c r="Q1636" s="172"/>
    </row>
    <row r="1637" spans="6:17" s="170" customFormat="1" x14ac:dyDescent="0.2">
      <c r="F1637" s="187"/>
      <c r="G1637" s="187"/>
      <c r="H1637" s="188"/>
      <c r="I1637" s="189"/>
      <c r="J1637" s="190"/>
      <c r="K1637" s="190"/>
      <c r="L1637" s="190"/>
      <c r="M1637" s="191"/>
      <c r="N1637" s="172"/>
      <c r="O1637" s="172"/>
      <c r="P1637" s="172"/>
      <c r="Q1637" s="172"/>
    </row>
    <row r="1638" spans="6:17" s="170" customFormat="1" x14ac:dyDescent="0.2">
      <c r="F1638" s="187"/>
      <c r="G1638" s="187"/>
      <c r="H1638" s="188"/>
      <c r="I1638" s="189"/>
      <c r="J1638" s="190"/>
      <c r="K1638" s="190"/>
      <c r="L1638" s="190"/>
      <c r="M1638" s="191"/>
      <c r="N1638" s="172"/>
      <c r="O1638" s="172"/>
      <c r="P1638" s="172"/>
      <c r="Q1638" s="172"/>
    </row>
    <row r="1639" spans="6:17" s="170" customFormat="1" x14ac:dyDescent="0.2">
      <c r="F1639" s="187"/>
      <c r="G1639" s="187"/>
      <c r="H1639" s="188"/>
      <c r="I1639" s="189"/>
      <c r="J1639" s="190"/>
      <c r="K1639" s="190"/>
      <c r="L1639" s="190"/>
      <c r="M1639" s="191"/>
      <c r="N1639" s="172"/>
      <c r="O1639" s="172"/>
      <c r="P1639" s="172"/>
      <c r="Q1639" s="172"/>
    </row>
    <row r="1640" spans="6:17" s="170" customFormat="1" x14ac:dyDescent="0.2">
      <c r="F1640" s="187"/>
      <c r="G1640" s="187"/>
      <c r="H1640" s="188"/>
      <c r="I1640" s="189"/>
      <c r="J1640" s="190"/>
      <c r="K1640" s="190"/>
      <c r="L1640" s="190"/>
      <c r="M1640" s="191"/>
      <c r="N1640" s="172"/>
      <c r="O1640" s="172"/>
      <c r="P1640" s="172"/>
      <c r="Q1640" s="172"/>
    </row>
    <row r="1641" spans="6:17" s="170" customFormat="1" x14ac:dyDescent="0.2">
      <c r="F1641" s="187"/>
      <c r="G1641" s="187"/>
      <c r="H1641" s="188"/>
      <c r="I1641" s="189"/>
      <c r="J1641" s="190"/>
      <c r="K1641" s="190"/>
      <c r="L1641" s="190"/>
      <c r="M1641" s="191"/>
      <c r="N1641" s="172"/>
      <c r="O1641" s="172"/>
      <c r="P1641" s="172"/>
      <c r="Q1641" s="172"/>
    </row>
    <row r="1642" spans="6:17" s="170" customFormat="1" x14ac:dyDescent="0.2">
      <c r="F1642" s="187"/>
      <c r="G1642" s="187"/>
      <c r="H1642" s="188"/>
      <c r="I1642" s="189"/>
      <c r="J1642" s="190"/>
      <c r="K1642" s="190"/>
      <c r="L1642" s="190"/>
      <c r="M1642" s="191"/>
      <c r="N1642" s="172"/>
      <c r="O1642" s="172"/>
      <c r="P1642" s="172"/>
      <c r="Q1642" s="172"/>
    </row>
    <row r="1643" spans="6:17" s="170" customFormat="1" x14ac:dyDescent="0.2">
      <c r="F1643" s="187"/>
      <c r="G1643" s="187"/>
      <c r="H1643" s="188"/>
      <c r="I1643" s="189"/>
      <c r="J1643" s="190"/>
      <c r="K1643" s="190"/>
      <c r="L1643" s="190"/>
      <c r="M1643" s="191"/>
      <c r="N1643" s="172"/>
      <c r="O1643" s="172"/>
      <c r="P1643" s="172"/>
      <c r="Q1643" s="172"/>
    </row>
    <row r="1644" spans="6:17" s="170" customFormat="1" x14ac:dyDescent="0.2">
      <c r="F1644" s="187"/>
      <c r="G1644" s="187"/>
      <c r="H1644" s="188"/>
      <c r="I1644" s="189"/>
      <c r="J1644" s="190"/>
      <c r="K1644" s="190"/>
      <c r="L1644" s="190"/>
      <c r="M1644" s="191"/>
      <c r="N1644" s="172"/>
      <c r="O1644" s="172"/>
      <c r="P1644" s="172"/>
      <c r="Q1644" s="172"/>
    </row>
    <row r="1645" spans="6:17" s="170" customFormat="1" x14ac:dyDescent="0.2">
      <c r="F1645" s="187"/>
      <c r="G1645" s="187"/>
      <c r="H1645" s="188"/>
      <c r="I1645" s="189"/>
      <c r="J1645" s="190"/>
      <c r="K1645" s="190"/>
      <c r="L1645" s="190"/>
      <c r="M1645" s="191"/>
      <c r="N1645" s="172"/>
      <c r="O1645" s="172"/>
      <c r="P1645" s="172"/>
      <c r="Q1645" s="172"/>
    </row>
    <row r="1646" spans="6:17" s="170" customFormat="1" x14ac:dyDescent="0.2">
      <c r="F1646" s="187"/>
      <c r="G1646" s="187"/>
      <c r="H1646" s="188"/>
      <c r="I1646" s="189"/>
      <c r="J1646" s="190"/>
      <c r="K1646" s="190"/>
      <c r="L1646" s="190"/>
      <c r="M1646" s="191"/>
      <c r="N1646" s="172"/>
      <c r="O1646" s="172"/>
      <c r="P1646" s="172"/>
      <c r="Q1646" s="172"/>
    </row>
    <row r="1647" spans="6:17" s="170" customFormat="1" x14ac:dyDescent="0.2">
      <c r="F1647" s="187"/>
      <c r="G1647" s="187"/>
      <c r="H1647" s="188"/>
      <c r="I1647" s="189"/>
      <c r="J1647" s="190"/>
      <c r="K1647" s="190"/>
      <c r="L1647" s="190"/>
      <c r="M1647" s="191"/>
      <c r="N1647" s="172"/>
      <c r="O1647" s="172"/>
      <c r="P1647" s="172"/>
      <c r="Q1647" s="172"/>
    </row>
    <row r="1648" spans="6:17" s="170" customFormat="1" x14ac:dyDescent="0.2">
      <c r="F1648" s="187"/>
      <c r="G1648" s="187"/>
      <c r="H1648" s="188"/>
      <c r="I1648" s="189"/>
      <c r="J1648" s="190"/>
      <c r="K1648" s="190"/>
      <c r="L1648" s="190"/>
      <c r="M1648" s="191"/>
      <c r="N1648" s="172"/>
      <c r="O1648" s="172"/>
      <c r="P1648" s="172"/>
      <c r="Q1648" s="172"/>
    </row>
    <row r="1649" spans="6:17" s="170" customFormat="1" x14ac:dyDescent="0.2">
      <c r="F1649" s="187"/>
      <c r="G1649" s="187"/>
      <c r="H1649" s="188"/>
      <c r="I1649" s="189"/>
      <c r="J1649" s="190"/>
      <c r="K1649" s="190"/>
      <c r="L1649" s="190"/>
      <c r="M1649" s="191"/>
      <c r="N1649" s="172"/>
      <c r="O1649" s="172"/>
      <c r="P1649" s="172"/>
      <c r="Q1649" s="172"/>
    </row>
    <row r="1650" spans="6:17" s="170" customFormat="1" x14ac:dyDescent="0.2">
      <c r="F1650" s="187"/>
      <c r="G1650" s="187"/>
      <c r="H1650" s="188"/>
      <c r="I1650" s="189"/>
      <c r="J1650" s="190"/>
      <c r="K1650" s="190"/>
      <c r="L1650" s="190"/>
      <c r="M1650" s="191"/>
      <c r="N1650" s="172"/>
      <c r="O1650" s="172"/>
      <c r="P1650" s="172"/>
      <c r="Q1650" s="172"/>
    </row>
    <row r="1651" spans="6:17" s="170" customFormat="1" x14ac:dyDescent="0.2">
      <c r="F1651" s="187"/>
      <c r="G1651" s="187"/>
      <c r="H1651" s="188"/>
      <c r="I1651" s="189"/>
      <c r="J1651" s="190"/>
      <c r="K1651" s="190"/>
      <c r="L1651" s="190"/>
      <c r="M1651" s="191"/>
      <c r="N1651" s="172"/>
      <c r="O1651" s="172"/>
      <c r="P1651" s="172"/>
      <c r="Q1651" s="172"/>
    </row>
    <row r="1652" spans="6:17" s="170" customFormat="1" x14ac:dyDescent="0.2">
      <c r="F1652" s="187"/>
      <c r="G1652" s="187"/>
      <c r="H1652" s="188"/>
      <c r="I1652" s="189"/>
      <c r="J1652" s="190"/>
      <c r="K1652" s="190"/>
      <c r="L1652" s="190"/>
      <c r="M1652" s="191"/>
      <c r="N1652" s="172"/>
      <c r="O1652" s="172"/>
      <c r="P1652" s="172"/>
      <c r="Q1652" s="172"/>
    </row>
    <row r="1653" spans="6:17" s="170" customFormat="1" x14ac:dyDescent="0.2">
      <c r="F1653" s="187"/>
      <c r="G1653" s="187"/>
      <c r="H1653" s="188"/>
      <c r="I1653" s="189"/>
      <c r="J1653" s="190"/>
      <c r="K1653" s="190"/>
      <c r="L1653" s="190"/>
      <c r="M1653" s="191"/>
      <c r="N1653" s="172"/>
      <c r="O1653" s="172"/>
      <c r="P1653" s="172"/>
      <c r="Q1653" s="172"/>
    </row>
    <row r="1654" spans="6:17" s="170" customFormat="1" x14ac:dyDescent="0.2">
      <c r="F1654" s="187"/>
      <c r="G1654" s="187"/>
      <c r="H1654" s="188"/>
      <c r="I1654" s="189"/>
      <c r="J1654" s="190"/>
      <c r="K1654" s="190"/>
      <c r="L1654" s="190"/>
      <c r="M1654" s="191"/>
      <c r="N1654" s="172"/>
      <c r="O1654" s="172"/>
      <c r="P1654" s="172"/>
      <c r="Q1654" s="172"/>
    </row>
    <row r="1655" spans="6:17" s="170" customFormat="1" x14ac:dyDescent="0.2">
      <c r="F1655" s="187"/>
      <c r="G1655" s="187"/>
      <c r="H1655" s="188"/>
      <c r="I1655" s="189"/>
      <c r="J1655" s="190"/>
      <c r="K1655" s="190"/>
      <c r="L1655" s="190"/>
      <c r="M1655" s="191"/>
      <c r="N1655" s="172"/>
      <c r="O1655" s="172"/>
      <c r="P1655" s="172"/>
      <c r="Q1655" s="172"/>
    </row>
    <row r="1656" spans="6:17" s="170" customFormat="1" x14ac:dyDescent="0.2">
      <c r="F1656" s="187"/>
      <c r="G1656" s="187"/>
      <c r="H1656" s="188"/>
      <c r="I1656" s="189"/>
      <c r="J1656" s="190"/>
      <c r="K1656" s="190"/>
      <c r="L1656" s="190"/>
      <c r="M1656" s="191"/>
      <c r="N1656" s="172"/>
      <c r="O1656" s="172"/>
      <c r="P1656" s="172"/>
      <c r="Q1656" s="172"/>
    </row>
    <row r="1657" spans="6:17" s="170" customFormat="1" x14ac:dyDescent="0.2">
      <c r="F1657" s="187"/>
      <c r="G1657" s="187"/>
      <c r="H1657" s="188"/>
      <c r="I1657" s="189"/>
      <c r="J1657" s="190"/>
      <c r="K1657" s="190"/>
      <c r="L1657" s="190"/>
      <c r="M1657" s="191"/>
      <c r="N1657" s="172"/>
      <c r="O1657" s="172"/>
      <c r="P1657" s="172"/>
      <c r="Q1657" s="172"/>
    </row>
    <row r="1658" spans="6:17" s="170" customFormat="1" x14ac:dyDescent="0.2">
      <c r="F1658" s="187"/>
      <c r="G1658" s="187"/>
      <c r="H1658" s="188"/>
      <c r="I1658" s="189"/>
      <c r="J1658" s="190"/>
      <c r="K1658" s="190"/>
      <c r="L1658" s="190"/>
      <c r="M1658" s="191"/>
      <c r="N1658" s="172"/>
      <c r="O1658" s="172"/>
      <c r="P1658" s="172"/>
      <c r="Q1658" s="172"/>
    </row>
    <row r="1659" spans="6:17" s="170" customFormat="1" x14ac:dyDescent="0.2">
      <c r="F1659" s="187"/>
      <c r="G1659" s="187"/>
      <c r="H1659" s="188"/>
      <c r="I1659" s="189"/>
      <c r="J1659" s="190"/>
      <c r="K1659" s="190"/>
      <c r="L1659" s="190"/>
      <c r="M1659" s="191"/>
      <c r="N1659" s="172"/>
      <c r="O1659" s="172"/>
      <c r="P1659" s="172"/>
      <c r="Q1659" s="172"/>
    </row>
    <row r="1660" spans="6:17" s="170" customFormat="1" x14ac:dyDescent="0.2">
      <c r="F1660" s="187"/>
      <c r="G1660" s="187"/>
      <c r="H1660" s="188"/>
      <c r="I1660" s="189"/>
      <c r="J1660" s="190"/>
      <c r="K1660" s="190"/>
      <c r="L1660" s="190"/>
      <c r="M1660" s="191"/>
      <c r="N1660" s="172"/>
      <c r="O1660" s="172"/>
      <c r="P1660" s="172"/>
      <c r="Q1660" s="172"/>
    </row>
    <row r="1661" spans="6:17" s="170" customFormat="1" x14ac:dyDescent="0.2">
      <c r="F1661" s="187"/>
      <c r="G1661" s="187"/>
      <c r="H1661" s="188"/>
      <c r="I1661" s="189"/>
      <c r="J1661" s="190"/>
      <c r="K1661" s="190"/>
      <c r="L1661" s="190"/>
      <c r="M1661" s="191"/>
      <c r="N1661" s="172"/>
      <c r="O1661" s="172"/>
      <c r="P1661" s="172"/>
      <c r="Q1661" s="172"/>
    </row>
    <row r="1662" spans="6:17" s="170" customFormat="1" x14ac:dyDescent="0.2">
      <c r="F1662" s="187"/>
      <c r="G1662" s="187"/>
      <c r="H1662" s="188"/>
      <c r="I1662" s="189"/>
      <c r="J1662" s="190"/>
      <c r="K1662" s="190"/>
      <c r="L1662" s="190"/>
      <c r="M1662" s="191"/>
      <c r="N1662" s="172"/>
      <c r="O1662" s="172"/>
      <c r="P1662" s="172"/>
      <c r="Q1662" s="172"/>
    </row>
    <row r="1663" spans="6:17" s="170" customFormat="1" x14ac:dyDescent="0.2">
      <c r="F1663" s="187"/>
      <c r="G1663" s="187"/>
      <c r="H1663" s="188"/>
      <c r="I1663" s="189"/>
      <c r="J1663" s="190"/>
      <c r="K1663" s="190"/>
      <c r="L1663" s="190"/>
      <c r="M1663" s="191"/>
      <c r="N1663" s="172"/>
      <c r="O1663" s="172"/>
      <c r="P1663" s="172"/>
      <c r="Q1663" s="172"/>
    </row>
    <row r="1664" spans="6:17" s="170" customFormat="1" x14ac:dyDescent="0.2">
      <c r="F1664" s="187"/>
      <c r="G1664" s="187"/>
      <c r="H1664" s="188"/>
      <c r="I1664" s="189"/>
      <c r="J1664" s="190"/>
      <c r="K1664" s="190"/>
      <c r="L1664" s="190"/>
      <c r="M1664" s="191"/>
      <c r="N1664" s="172"/>
      <c r="O1664" s="172"/>
      <c r="P1664" s="172"/>
      <c r="Q1664" s="172"/>
    </row>
    <row r="1665" spans="6:17" s="170" customFormat="1" x14ac:dyDescent="0.2">
      <c r="F1665" s="187"/>
      <c r="G1665" s="187"/>
      <c r="H1665" s="188"/>
      <c r="I1665" s="189"/>
      <c r="J1665" s="190"/>
      <c r="K1665" s="190"/>
      <c r="L1665" s="190"/>
      <c r="M1665" s="191"/>
      <c r="N1665" s="172"/>
      <c r="O1665" s="172"/>
      <c r="P1665" s="172"/>
      <c r="Q1665" s="172"/>
    </row>
    <row r="1666" spans="6:17" s="170" customFormat="1" x14ac:dyDescent="0.2">
      <c r="F1666" s="187"/>
      <c r="G1666" s="187"/>
      <c r="H1666" s="188"/>
      <c r="I1666" s="189"/>
      <c r="J1666" s="190"/>
      <c r="K1666" s="190"/>
      <c r="L1666" s="190"/>
      <c r="M1666" s="191"/>
      <c r="N1666" s="172"/>
      <c r="O1666" s="172"/>
      <c r="P1666" s="172"/>
      <c r="Q1666" s="172"/>
    </row>
    <row r="1667" spans="6:17" s="170" customFormat="1" x14ac:dyDescent="0.2">
      <c r="F1667" s="187"/>
      <c r="G1667" s="187"/>
      <c r="H1667" s="188"/>
      <c r="I1667" s="189"/>
      <c r="J1667" s="190"/>
      <c r="K1667" s="190"/>
      <c r="L1667" s="190"/>
      <c r="M1667" s="191"/>
      <c r="N1667" s="172"/>
      <c r="O1667" s="172"/>
      <c r="P1667" s="172"/>
      <c r="Q1667" s="172"/>
    </row>
    <row r="1668" spans="6:17" s="170" customFormat="1" x14ac:dyDescent="0.2">
      <c r="F1668" s="187"/>
      <c r="G1668" s="187"/>
      <c r="H1668" s="188"/>
      <c r="I1668" s="189"/>
      <c r="J1668" s="190"/>
      <c r="K1668" s="190"/>
      <c r="L1668" s="190"/>
      <c r="M1668" s="191"/>
      <c r="N1668" s="172"/>
      <c r="O1668" s="172"/>
      <c r="P1668" s="172"/>
      <c r="Q1668" s="172"/>
    </row>
    <row r="1669" spans="6:17" s="170" customFormat="1" x14ac:dyDescent="0.2">
      <c r="F1669" s="187"/>
      <c r="G1669" s="187"/>
      <c r="H1669" s="188"/>
      <c r="I1669" s="189"/>
      <c r="J1669" s="190"/>
      <c r="K1669" s="190"/>
      <c r="L1669" s="190"/>
      <c r="M1669" s="191"/>
      <c r="N1669" s="172"/>
      <c r="O1669" s="172"/>
      <c r="P1669" s="172"/>
      <c r="Q1669" s="172"/>
    </row>
    <row r="1670" spans="6:17" s="170" customFormat="1" x14ac:dyDescent="0.2">
      <c r="F1670" s="187"/>
      <c r="G1670" s="187"/>
      <c r="H1670" s="188"/>
      <c r="I1670" s="189"/>
      <c r="J1670" s="190"/>
      <c r="K1670" s="190"/>
      <c r="L1670" s="190"/>
      <c r="M1670" s="191"/>
      <c r="N1670" s="172"/>
      <c r="O1670" s="172"/>
      <c r="P1670" s="172"/>
      <c r="Q1670" s="172"/>
    </row>
    <row r="1671" spans="6:17" s="170" customFormat="1" x14ac:dyDescent="0.2">
      <c r="F1671" s="187"/>
      <c r="G1671" s="187"/>
      <c r="H1671" s="188"/>
      <c r="I1671" s="189"/>
      <c r="J1671" s="190"/>
      <c r="K1671" s="190"/>
      <c r="L1671" s="190"/>
      <c r="M1671" s="191"/>
      <c r="N1671" s="172"/>
      <c r="O1671" s="172"/>
      <c r="P1671" s="172"/>
      <c r="Q1671" s="172"/>
    </row>
    <row r="1672" spans="6:17" s="170" customFormat="1" x14ac:dyDescent="0.2">
      <c r="F1672" s="187"/>
      <c r="G1672" s="187"/>
      <c r="H1672" s="188"/>
      <c r="I1672" s="189"/>
      <c r="J1672" s="190"/>
      <c r="K1672" s="190"/>
      <c r="L1672" s="190"/>
      <c r="M1672" s="191"/>
      <c r="N1672" s="172"/>
      <c r="O1672" s="172"/>
      <c r="P1672" s="172"/>
      <c r="Q1672" s="172"/>
    </row>
    <row r="1673" spans="6:17" s="170" customFormat="1" x14ac:dyDescent="0.2">
      <c r="F1673" s="187"/>
      <c r="G1673" s="187"/>
      <c r="H1673" s="188"/>
      <c r="I1673" s="189"/>
      <c r="J1673" s="190"/>
      <c r="K1673" s="190"/>
      <c r="L1673" s="190"/>
      <c r="M1673" s="191"/>
      <c r="N1673" s="172"/>
      <c r="O1673" s="172"/>
      <c r="P1673" s="172"/>
      <c r="Q1673" s="172"/>
    </row>
    <row r="1674" spans="6:17" s="170" customFormat="1" x14ac:dyDescent="0.2">
      <c r="F1674" s="187"/>
      <c r="G1674" s="187"/>
      <c r="H1674" s="188"/>
      <c r="I1674" s="189"/>
      <c r="J1674" s="190"/>
      <c r="K1674" s="190"/>
      <c r="L1674" s="190"/>
      <c r="M1674" s="191"/>
      <c r="N1674" s="172"/>
      <c r="O1674" s="172"/>
      <c r="P1674" s="172"/>
      <c r="Q1674" s="172"/>
    </row>
    <row r="1675" spans="6:17" s="170" customFormat="1" x14ac:dyDescent="0.2">
      <c r="F1675" s="187"/>
      <c r="G1675" s="187"/>
      <c r="H1675" s="188"/>
      <c r="I1675" s="189"/>
      <c r="J1675" s="190"/>
      <c r="K1675" s="190"/>
      <c r="L1675" s="190"/>
      <c r="M1675" s="191"/>
      <c r="N1675" s="172"/>
      <c r="O1675" s="172"/>
      <c r="P1675" s="172"/>
      <c r="Q1675" s="172"/>
    </row>
    <row r="1676" spans="6:17" s="170" customFormat="1" x14ac:dyDescent="0.2">
      <c r="F1676" s="187"/>
      <c r="G1676" s="187"/>
      <c r="H1676" s="188"/>
      <c r="I1676" s="189"/>
      <c r="J1676" s="190"/>
      <c r="K1676" s="190"/>
      <c r="L1676" s="190"/>
      <c r="M1676" s="191"/>
      <c r="N1676" s="172"/>
      <c r="O1676" s="172"/>
      <c r="P1676" s="172"/>
      <c r="Q1676" s="172"/>
    </row>
    <row r="1677" spans="6:17" s="170" customFormat="1" x14ac:dyDescent="0.2">
      <c r="F1677" s="187"/>
      <c r="G1677" s="187"/>
      <c r="H1677" s="188"/>
      <c r="I1677" s="189"/>
      <c r="J1677" s="190"/>
      <c r="K1677" s="190"/>
      <c r="L1677" s="190"/>
      <c r="M1677" s="191"/>
      <c r="N1677" s="172"/>
      <c r="O1677" s="172"/>
      <c r="P1677" s="172"/>
      <c r="Q1677" s="172"/>
    </row>
    <row r="1678" spans="6:17" s="170" customFormat="1" x14ac:dyDescent="0.2">
      <c r="F1678" s="187"/>
      <c r="G1678" s="187"/>
      <c r="H1678" s="188"/>
      <c r="I1678" s="189"/>
      <c r="J1678" s="190"/>
      <c r="K1678" s="190"/>
      <c r="L1678" s="190"/>
      <c r="M1678" s="191"/>
      <c r="N1678" s="172"/>
      <c r="O1678" s="172"/>
      <c r="P1678" s="172"/>
      <c r="Q1678" s="172"/>
    </row>
    <row r="1679" spans="6:17" s="170" customFormat="1" x14ac:dyDescent="0.2">
      <c r="F1679" s="187"/>
      <c r="G1679" s="187"/>
      <c r="H1679" s="188"/>
      <c r="I1679" s="189"/>
      <c r="J1679" s="190"/>
      <c r="K1679" s="190"/>
      <c r="L1679" s="190"/>
      <c r="M1679" s="191"/>
      <c r="N1679" s="172"/>
      <c r="O1679" s="172"/>
      <c r="P1679" s="172"/>
      <c r="Q1679" s="172"/>
    </row>
    <row r="1680" spans="6:17" s="170" customFormat="1" x14ac:dyDescent="0.2">
      <c r="F1680" s="187"/>
      <c r="G1680" s="187"/>
      <c r="H1680" s="188"/>
      <c r="I1680" s="189"/>
      <c r="J1680" s="190"/>
      <c r="K1680" s="190"/>
      <c r="L1680" s="190"/>
      <c r="M1680" s="191"/>
      <c r="N1680" s="172"/>
      <c r="O1680" s="172"/>
      <c r="P1680" s="172"/>
      <c r="Q1680" s="172"/>
    </row>
    <row r="1681" spans="6:17" s="170" customFormat="1" x14ac:dyDescent="0.2">
      <c r="F1681" s="187"/>
      <c r="G1681" s="187"/>
      <c r="H1681" s="188"/>
      <c r="I1681" s="189"/>
      <c r="J1681" s="190"/>
      <c r="K1681" s="190"/>
      <c r="L1681" s="190"/>
      <c r="M1681" s="191"/>
      <c r="N1681" s="172"/>
      <c r="O1681" s="172"/>
      <c r="P1681" s="172"/>
      <c r="Q1681" s="172"/>
    </row>
    <row r="1682" spans="6:17" s="170" customFormat="1" x14ac:dyDescent="0.2">
      <c r="F1682" s="187"/>
      <c r="G1682" s="187"/>
      <c r="H1682" s="188"/>
      <c r="I1682" s="189"/>
      <c r="J1682" s="190"/>
      <c r="K1682" s="190"/>
      <c r="L1682" s="190"/>
      <c r="M1682" s="191"/>
      <c r="N1682" s="172"/>
      <c r="O1682" s="172"/>
      <c r="P1682" s="172"/>
      <c r="Q1682" s="172"/>
    </row>
    <row r="1683" spans="6:17" s="170" customFormat="1" x14ac:dyDescent="0.2">
      <c r="F1683" s="187"/>
      <c r="G1683" s="187"/>
      <c r="H1683" s="188"/>
      <c r="I1683" s="189"/>
      <c r="J1683" s="190"/>
      <c r="K1683" s="190"/>
      <c r="L1683" s="190"/>
      <c r="M1683" s="191"/>
      <c r="N1683" s="172"/>
      <c r="O1683" s="172"/>
      <c r="P1683" s="172"/>
      <c r="Q1683" s="172"/>
    </row>
    <row r="1684" spans="6:17" s="170" customFormat="1" x14ac:dyDescent="0.2">
      <c r="F1684" s="187"/>
      <c r="G1684" s="187"/>
      <c r="H1684" s="188"/>
      <c r="I1684" s="189"/>
      <c r="J1684" s="190"/>
      <c r="K1684" s="190"/>
      <c r="L1684" s="190"/>
      <c r="M1684" s="191"/>
      <c r="N1684" s="172"/>
      <c r="O1684" s="172"/>
      <c r="P1684" s="172"/>
      <c r="Q1684" s="172"/>
    </row>
    <row r="1685" spans="6:17" s="170" customFormat="1" x14ac:dyDescent="0.2">
      <c r="F1685" s="187"/>
      <c r="G1685" s="187"/>
      <c r="H1685" s="188"/>
      <c r="I1685" s="189"/>
      <c r="J1685" s="190"/>
      <c r="K1685" s="190"/>
      <c r="L1685" s="190"/>
      <c r="M1685" s="191"/>
      <c r="N1685" s="172"/>
      <c r="O1685" s="172"/>
      <c r="P1685" s="172"/>
      <c r="Q1685" s="172"/>
    </row>
    <row r="1686" spans="6:17" s="170" customFormat="1" x14ac:dyDescent="0.2">
      <c r="F1686" s="187"/>
      <c r="G1686" s="187"/>
      <c r="H1686" s="188"/>
      <c r="I1686" s="189"/>
      <c r="J1686" s="190"/>
      <c r="K1686" s="190"/>
      <c r="L1686" s="190"/>
      <c r="M1686" s="191"/>
      <c r="N1686" s="172"/>
      <c r="O1686" s="172"/>
      <c r="P1686" s="172"/>
      <c r="Q1686" s="172"/>
    </row>
    <row r="1687" spans="6:17" s="170" customFormat="1" x14ac:dyDescent="0.2">
      <c r="F1687" s="187"/>
      <c r="G1687" s="187"/>
      <c r="H1687" s="188"/>
      <c r="I1687" s="189"/>
      <c r="J1687" s="190"/>
      <c r="K1687" s="190"/>
      <c r="L1687" s="190"/>
      <c r="M1687" s="191"/>
      <c r="N1687" s="172"/>
      <c r="O1687" s="172"/>
      <c r="P1687" s="172"/>
      <c r="Q1687" s="172"/>
    </row>
    <row r="1688" spans="6:17" s="170" customFormat="1" x14ac:dyDescent="0.2">
      <c r="F1688" s="187"/>
      <c r="G1688" s="187"/>
      <c r="H1688" s="188"/>
      <c r="I1688" s="189"/>
      <c r="J1688" s="190"/>
      <c r="K1688" s="190"/>
      <c r="L1688" s="190"/>
      <c r="M1688" s="191"/>
      <c r="N1688" s="172"/>
      <c r="O1688" s="172"/>
      <c r="P1688" s="172"/>
      <c r="Q1688" s="172"/>
    </row>
    <row r="1689" spans="6:17" s="170" customFormat="1" x14ac:dyDescent="0.2">
      <c r="F1689" s="187"/>
      <c r="G1689" s="187"/>
      <c r="H1689" s="188"/>
      <c r="I1689" s="189"/>
      <c r="J1689" s="190"/>
      <c r="K1689" s="190"/>
      <c r="L1689" s="190"/>
      <c r="M1689" s="191"/>
      <c r="N1689" s="172"/>
      <c r="O1689" s="172"/>
      <c r="P1689" s="172"/>
      <c r="Q1689" s="172"/>
    </row>
    <row r="1690" spans="6:17" s="170" customFormat="1" x14ac:dyDescent="0.2">
      <c r="F1690" s="187"/>
      <c r="G1690" s="187"/>
      <c r="H1690" s="188"/>
      <c r="I1690" s="189"/>
      <c r="J1690" s="190"/>
      <c r="K1690" s="190"/>
      <c r="L1690" s="190"/>
      <c r="M1690" s="191"/>
      <c r="N1690" s="172"/>
      <c r="O1690" s="172"/>
      <c r="P1690" s="172"/>
      <c r="Q1690" s="172"/>
    </row>
    <row r="1691" spans="6:17" s="170" customFormat="1" x14ac:dyDescent="0.2">
      <c r="F1691" s="187"/>
      <c r="G1691" s="187"/>
      <c r="H1691" s="188"/>
      <c r="I1691" s="189"/>
      <c r="J1691" s="190"/>
      <c r="K1691" s="190"/>
      <c r="L1691" s="190"/>
      <c r="M1691" s="191"/>
      <c r="N1691" s="172"/>
      <c r="O1691" s="172"/>
      <c r="P1691" s="172"/>
      <c r="Q1691" s="172"/>
    </row>
    <row r="1692" spans="6:17" s="170" customFormat="1" x14ac:dyDescent="0.2">
      <c r="F1692" s="187"/>
      <c r="G1692" s="187"/>
      <c r="H1692" s="188"/>
      <c r="I1692" s="189"/>
      <c r="J1692" s="190"/>
      <c r="K1692" s="190"/>
      <c r="L1692" s="190"/>
      <c r="M1692" s="191"/>
      <c r="N1692" s="172"/>
      <c r="O1692" s="172"/>
      <c r="P1692" s="172"/>
      <c r="Q1692" s="172"/>
    </row>
    <row r="1693" spans="6:17" s="170" customFormat="1" x14ac:dyDescent="0.2">
      <c r="F1693" s="187"/>
      <c r="G1693" s="187"/>
      <c r="H1693" s="188"/>
      <c r="I1693" s="189"/>
      <c r="J1693" s="190"/>
      <c r="K1693" s="190"/>
      <c r="L1693" s="190"/>
      <c r="M1693" s="191"/>
      <c r="N1693" s="172"/>
      <c r="O1693" s="172"/>
      <c r="P1693" s="172"/>
      <c r="Q1693" s="172"/>
    </row>
    <row r="1694" spans="6:17" s="170" customFormat="1" x14ac:dyDescent="0.2">
      <c r="F1694" s="187"/>
      <c r="G1694" s="187"/>
      <c r="H1694" s="188"/>
      <c r="I1694" s="189"/>
      <c r="J1694" s="190"/>
      <c r="K1694" s="190"/>
      <c r="L1694" s="190"/>
      <c r="M1694" s="191"/>
      <c r="N1694" s="172"/>
      <c r="O1694" s="172"/>
      <c r="P1694" s="172"/>
      <c r="Q1694" s="172"/>
    </row>
    <row r="1695" spans="6:17" s="170" customFormat="1" x14ac:dyDescent="0.2">
      <c r="F1695" s="187"/>
      <c r="G1695" s="187"/>
      <c r="H1695" s="188"/>
      <c r="I1695" s="189"/>
      <c r="J1695" s="190"/>
      <c r="K1695" s="190"/>
      <c r="L1695" s="190"/>
      <c r="M1695" s="191"/>
      <c r="N1695" s="172"/>
      <c r="O1695" s="172"/>
      <c r="P1695" s="172"/>
      <c r="Q1695" s="172"/>
    </row>
    <row r="1696" spans="6:17" s="170" customFormat="1" x14ac:dyDescent="0.2">
      <c r="F1696" s="187"/>
      <c r="G1696" s="187"/>
      <c r="H1696" s="188"/>
      <c r="I1696" s="189"/>
      <c r="J1696" s="190"/>
      <c r="K1696" s="190"/>
      <c r="L1696" s="190"/>
      <c r="M1696" s="191"/>
      <c r="N1696" s="172"/>
      <c r="O1696" s="172"/>
      <c r="P1696" s="172"/>
      <c r="Q1696" s="172"/>
    </row>
    <row r="1697" spans="6:17" s="170" customFormat="1" x14ac:dyDescent="0.2">
      <c r="F1697" s="187"/>
      <c r="G1697" s="187"/>
      <c r="H1697" s="188"/>
      <c r="I1697" s="189"/>
      <c r="J1697" s="190"/>
      <c r="K1697" s="190"/>
      <c r="L1697" s="190"/>
      <c r="M1697" s="191"/>
      <c r="N1697" s="172"/>
      <c r="O1697" s="172"/>
      <c r="P1697" s="172"/>
      <c r="Q1697" s="172"/>
    </row>
    <row r="1698" spans="6:17" s="170" customFormat="1" x14ac:dyDescent="0.2">
      <c r="F1698" s="187"/>
      <c r="G1698" s="187"/>
      <c r="H1698" s="188"/>
      <c r="I1698" s="189"/>
      <c r="J1698" s="190"/>
      <c r="K1698" s="190"/>
      <c r="L1698" s="190"/>
      <c r="M1698" s="191"/>
      <c r="N1698" s="172"/>
      <c r="O1698" s="172"/>
      <c r="P1698" s="172"/>
      <c r="Q1698" s="172"/>
    </row>
    <row r="1699" spans="6:17" s="170" customFormat="1" x14ac:dyDescent="0.2">
      <c r="F1699" s="187"/>
      <c r="G1699" s="187"/>
      <c r="H1699" s="188"/>
      <c r="I1699" s="189"/>
      <c r="J1699" s="190"/>
      <c r="K1699" s="190"/>
      <c r="L1699" s="190"/>
      <c r="M1699" s="191"/>
      <c r="N1699" s="172"/>
      <c r="O1699" s="172"/>
      <c r="P1699" s="172"/>
      <c r="Q1699" s="172"/>
    </row>
    <row r="1700" spans="6:17" s="170" customFormat="1" x14ac:dyDescent="0.2">
      <c r="F1700" s="187"/>
      <c r="G1700" s="187"/>
      <c r="H1700" s="188"/>
      <c r="I1700" s="189"/>
      <c r="J1700" s="190"/>
      <c r="K1700" s="190"/>
      <c r="L1700" s="190"/>
      <c r="M1700" s="191"/>
      <c r="N1700" s="172"/>
      <c r="O1700" s="172"/>
      <c r="P1700" s="172"/>
      <c r="Q1700" s="172"/>
    </row>
    <row r="1701" spans="6:17" s="170" customFormat="1" x14ac:dyDescent="0.2">
      <c r="F1701" s="187"/>
      <c r="G1701" s="187"/>
      <c r="H1701" s="188"/>
      <c r="I1701" s="189"/>
      <c r="J1701" s="190"/>
      <c r="K1701" s="190"/>
      <c r="L1701" s="190"/>
      <c r="M1701" s="191"/>
      <c r="N1701" s="172"/>
      <c r="O1701" s="172"/>
      <c r="P1701" s="172"/>
      <c r="Q1701" s="172"/>
    </row>
    <row r="1702" spans="6:17" s="170" customFormat="1" x14ac:dyDescent="0.2">
      <c r="F1702" s="187"/>
      <c r="G1702" s="187"/>
      <c r="H1702" s="188"/>
      <c r="I1702" s="189"/>
      <c r="J1702" s="190"/>
      <c r="K1702" s="190"/>
      <c r="L1702" s="190"/>
      <c r="M1702" s="191"/>
      <c r="N1702" s="172"/>
      <c r="O1702" s="172"/>
      <c r="P1702" s="172"/>
      <c r="Q1702" s="172"/>
    </row>
    <row r="1703" spans="6:17" s="170" customFormat="1" x14ac:dyDescent="0.2">
      <c r="F1703" s="187"/>
      <c r="G1703" s="187"/>
      <c r="H1703" s="188"/>
      <c r="I1703" s="189"/>
      <c r="J1703" s="190"/>
      <c r="K1703" s="190"/>
      <c r="L1703" s="190"/>
      <c r="M1703" s="191"/>
      <c r="N1703" s="172"/>
      <c r="O1703" s="172"/>
      <c r="P1703" s="172"/>
      <c r="Q1703" s="172"/>
    </row>
    <row r="1704" spans="6:17" s="170" customFormat="1" x14ac:dyDescent="0.2">
      <c r="F1704" s="187"/>
      <c r="G1704" s="187"/>
      <c r="H1704" s="188"/>
      <c r="I1704" s="189"/>
      <c r="J1704" s="190"/>
      <c r="K1704" s="190"/>
      <c r="L1704" s="190"/>
      <c r="M1704" s="191"/>
      <c r="N1704" s="172"/>
      <c r="O1704" s="172"/>
      <c r="P1704" s="172"/>
      <c r="Q1704" s="172"/>
    </row>
    <row r="1705" spans="6:17" s="170" customFormat="1" x14ac:dyDescent="0.2">
      <c r="F1705" s="187"/>
      <c r="G1705" s="187"/>
      <c r="H1705" s="188"/>
      <c r="I1705" s="189"/>
      <c r="J1705" s="190"/>
      <c r="K1705" s="190"/>
      <c r="L1705" s="190"/>
      <c r="M1705" s="191"/>
      <c r="N1705" s="172"/>
      <c r="O1705" s="172"/>
      <c r="P1705" s="172"/>
      <c r="Q1705" s="172"/>
    </row>
    <row r="1706" spans="6:17" s="170" customFormat="1" x14ac:dyDescent="0.2">
      <c r="F1706" s="187"/>
      <c r="G1706" s="187"/>
      <c r="H1706" s="188"/>
      <c r="I1706" s="189"/>
      <c r="J1706" s="190"/>
      <c r="K1706" s="190"/>
      <c r="L1706" s="190"/>
      <c r="M1706" s="191"/>
      <c r="N1706" s="172"/>
      <c r="O1706" s="172"/>
      <c r="P1706" s="172"/>
      <c r="Q1706" s="172"/>
    </row>
    <row r="1707" spans="6:17" s="170" customFormat="1" x14ac:dyDescent="0.2">
      <c r="F1707" s="187"/>
      <c r="G1707" s="187"/>
      <c r="H1707" s="188"/>
      <c r="I1707" s="189"/>
      <c r="J1707" s="190"/>
      <c r="K1707" s="190"/>
      <c r="L1707" s="190"/>
      <c r="M1707" s="191"/>
      <c r="N1707" s="172"/>
      <c r="O1707" s="172"/>
      <c r="P1707" s="172"/>
      <c r="Q1707" s="172"/>
    </row>
    <row r="1708" spans="6:17" s="170" customFormat="1" x14ac:dyDescent="0.2">
      <c r="F1708" s="187"/>
      <c r="G1708" s="187"/>
      <c r="H1708" s="188"/>
      <c r="I1708" s="189"/>
      <c r="J1708" s="190"/>
      <c r="K1708" s="190"/>
      <c r="L1708" s="190"/>
      <c r="M1708" s="191"/>
      <c r="N1708" s="172"/>
      <c r="O1708" s="172"/>
      <c r="P1708" s="172"/>
      <c r="Q1708" s="172"/>
    </row>
    <row r="1709" spans="6:17" s="170" customFormat="1" x14ac:dyDescent="0.2">
      <c r="F1709" s="187"/>
      <c r="G1709" s="187"/>
      <c r="H1709" s="188"/>
      <c r="I1709" s="189"/>
      <c r="J1709" s="190"/>
      <c r="K1709" s="190"/>
      <c r="L1709" s="190"/>
      <c r="M1709" s="191"/>
      <c r="N1709" s="172"/>
      <c r="O1709" s="172"/>
      <c r="P1709" s="172"/>
      <c r="Q1709" s="172"/>
    </row>
    <row r="1710" spans="6:17" s="170" customFormat="1" x14ac:dyDescent="0.2">
      <c r="F1710" s="187"/>
      <c r="G1710" s="187"/>
      <c r="H1710" s="188"/>
      <c r="I1710" s="189"/>
      <c r="J1710" s="190"/>
      <c r="K1710" s="190"/>
      <c r="L1710" s="190"/>
      <c r="M1710" s="191"/>
      <c r="N1710" s="172"/>
      <c r="O1710" s="172"/>
      <c r="P1710" s="172"/>
      <c r="Q1710" s="172"/>
    </row>
    <row r="1711" spans="6:17" s="170" customFormat="1" x14ac:dyDescent="0.2">
      <c r="F1711" s="187"/>
      <c r="G1711" s="187"/>
      <c r="H1711" s="188"/>
      <c r="I1711" s="189"/>
      <c r="J1711" s="190"/>
      <c r="K1711" s="190"/>
      <c r="L1711" s="190"/>
      <c r="M1711" s="191"/>
      <c r="N1711" s="172"/>
      <c r="O1711" s="172"/>
      <c r="P1711" s="172"/>
      <c r="Q1711" s="172"/>
    </row>
    <row r="1712" spans="6:17" s="170" customFormat="1" x14ac:dyDescent="0.2">
      <c r="F1712" s="187"/>
      <c r="G1712" s="187"/>
      <c r="H1712" s="188"/>
      <c r="I1712" s="189"/>
      <c r="J1712" s="190"/>
      <c r="K1712" s="190"/>
      <c r="L1712" s="190"/>
      <c r="M1712" s="191"/>
      <c r="N1712" s="172"/>
      <c r="O1712" s="172"/>
      <c r="P1712" s="172"/>
      <c r="Q1712" s="172"/>
    </row>
    <row r="1713" spans="6:17" s="170" customFormat="1" x14ac:dyDescent="0.2">
      <c r="F1713" s="187"/>
      <c r="G1713" s="187"/>
      <c r="H1713" s="188"/>
      <c r="I1713" s="189"/>
      <c r="J1713" s="190"/>
      <c r="K1713" s="190"/>
      <c r="L1713" s="190"/>
      <c r="M1713" s="191"/>
      <c r="N1713" s="172"/>
      <c r="O1713" s="172"/>
      <c r="P1713" s="172"/>
      <c r="Q1713" s="172"/>
    </row>
    <row r="1714" spans="6:17" s="170" customFormat="1" x14ac:dyDescent="0.2">
      <c r="F1714" s="187"/>
      <c r="G1714" s="187"/>
      <c r="H1714" s="188"/>
      <c r="I1714" s="189"/>
      <c r="J1714" s="190"/>
      <c r="K1714" s="190"/>
      <c r="L1714" s="190"/>
      <c r="M1714" s="191"/>
      <c r="N1714" s="172"/>
      <c r="O1714" s="172"/>
      <c r="P1714" s="172"/>
      <c r="Q1714" s="172"/>
    </row>
    <row r="1715" spans="6:17" s="170" customFormat="1" x14ac:dyDescent="0.2">
      <c r="F1715" s="187"/>
      <c r="G1715" s="187"/>
      <c r="H1715" s="188"/>
      <c r="I1715" s="189"/>
      <c r="J1715" s="190"/>
      <c r="K1715" s="190"/>
      <c r="L1715" s="190"/>
      <c r="M1715" s="191"/>
      <c r="N1715" s="172"/>
      <c r="O1715" s="172"/>
      <c r="P1715" s="172"/>
      <c r="Q1715" s="172"/>
    </row>
    <row r="1716" spans="6:17" s="170" customFormat="1" x14ac:dyDescent="0.2">
      <c r="F1716" s="187"/>
      <c r="G1716" s="187"/>
      <c r="H1716" s="188"/>
      <c r="I1716" s="189"/>
      <c r="J1716" s="190"/>
      <c r="K1716" s="190"/>
      <c r="L1716" s="190"/>
      <c r="M1716" s="191"/>
      <c r="N1716" s="172"/>
      <c r="O1716" s="172"/>
      <c r="P1716" s="172"/>
      <c r="Q1716" s="172"/>
    </row>
    <row r="1717" spans="6:17" s="170" customFormat="1" x14ac:dyDescent="0.2">
      <c r="F1717" s="187"/>
      <c r="G1717" s="187"/>
      <c r="H1717" s="188"/>
      <c r="I1717" s="189"/>
      <c r="J1717" s="190"/>
      <c r="K1717" s="190"/>
      <c r="L1717" s="190"/>
      <c r="M1717" s="191"/>
      <c r="N1717" s="172"/>
      <c r="O1717" s="172"/>
      <c r="P1717" s="172"/>
      <c r="Q1717" s="172"/>
    </row>
    <row r="1718" spans="6:17" s="170" customFormat="1" x14ac:dyDescent="0.2">
      <c r="F1718" s="187"/>
      <c r="G1718" s="187"/>
      <c r="H1718" s="188"/>
      <c r="I1718" s="189"/>
      <c r="J1718" s="190"/>
      <c r="K1718" s="190"/>
      <c r="L1718" s="190"/>
      <c r="M1718" s="191"/>
      <c r="N1718" s="172"/>
      <c r="O1718" s="172"/>
      <c r="P1718" s="172"/>
      <c r="Q1718" s="172"/>
    </row>
    <row r="1719" spans="6:17" s="170" customFormat="1" x14ac:dyDescent="0.2">
      <c r="F1719" s="187"/>
      <c r="G1719" s="187"/>
      <c r="H1719" s="188"/>
      <c r="I1719" s="189"/>
      <c r="J1719" s="190"/>
      <c r="K1719" s="190"/>
      <c r="L1719" s="190"/>
      <c r="M1719" s="191"/>
      <c r="N1719" s="172"/>
      <c r="O1719" s="172"/>
      <c r="P1719" s="172"/>
      <c r="Q1719" s="172"/>
    </row>
    <row r="1720" spans="6:17" s="170" customFormat="1" x14ac:dyDescent="0.2">
      <c r="F1720" s="187"/>
      <c r="G1720" s="187"/>
      <c r="H1720" s="188"/>
      <c r="I1720" s="189"/>
      <c r="J1720" s="190"/>
      <c r="K1720" s="190"/>
      <c r="L1720" s="190"/>
      <c r="M1720" s="191"/>
      <c r="N1720" s="172"/>
      <c r="O1720" s="172"/>
      <c r="P1720" s="172"/>
      <c r="Q1720" s="172"/>
    </row>
    <row r="1721" spans="6:17" s="170" customFormat="1" x14ac:dyDescent="0.2">
      <c r="F1721" s="187"/>
      <c r="G1721" s="187"/>
      <c r="H1721" s="188"/>
      <c r="I1721" s="189"/>
      <c r="J1721" s="190"/>
      <c r="K1721" s="190"/>
      <c r="L1721" s="190"/>
      <c r="M1721" s="191"/>
      <c r="N1721" s="172"/>
      <c r="O1721" s="172"/>
      <c r="P1721" s="172"/>
      <c r="Q1721" s="172"/>
    </row>
    <row r="1722" spans="6:17" s="170" customFormat="1" x14ac:dyDescent="0.2">
      <c r="F1722" s="187"/>
      <c r="G1722" s="187"/>
      <c r="H1722" s="188"/>
      <c r="I1722" s="189"/>
      <c r="J1722" s="190"/>
      <c r="K1722" s="190"/>
      <c r="L1722" s="190"/>
      <c r="M1722" s="191"/>
      <c r="N1722" s="172"/>
      <c r="O1722" s="172"/>
      <c r="P1722" s="172"/>
      <c r="Q1722" s="172"/>
    </row>
    <row r="1723" spans="6:17" s="170" customFormat="1" x14ac:dyDescent="0.2">
      <c r="F1723" s="187"/>
      <c r="G1723" s="187"/>
      <c r="H1723" s="188"/>
      <c r="I1723" s="189"/>
      <c r="J1723" s="190"/>
      <c r="K1723" s="190"/>
      <c r="L1723" s="190"/>
      <c r="M1723" s="191"/>
      <c r="N1723" s="172"/>
      <c r="O1723" s="172"/>
      <c r="P1723" s="172"/>
      <c r="Q1723" s="172"/>
    </row>
    <row r="1724" spans="6:17" s="170" customFormat="1" x14ac:dyDescent="0.2">
      <c r="F1724" s="187"/>
      <c r="G1724" s="187"/>
      <c r="H1724" s="188"/>
      <c r="I1724" s="189"/>
      <c r="J1724" s="190"/>
      <c r="K1724" s="190"/>
      <c r="L1724" s="190"/>
      <c r="M1724" s="191"/>
      <c r="N1724" s="172"/>
      <c r="O1724" s="172"/>
      <c r="P1724" s="172"/>
      <c r="Q1724" s="172"/>
    </row>
    <row r="1725" spans="6:17" s="170" customFormat="1" x14ac:dyDescent="0.2">
      <c r="F1725" s="187"/>
      <c r="G1725" s="187"/>
      <c r="H1725" s="188"/>
      <c r="I1725" s="189"/>
      <c r="J1725" s="190"/>
      <c r="K1725" s="190"/>
      <c r="L1725" s="190"/>
      <c r="M1725" s="191"/>
      <c r="N1725" s="172"/>
      <c r="O1725" s="172"/>
      <c r="P1725" s="172"/>
      <c r="Q1725" s="172"/>
    </row>
    <row r="1726" spans="6:17" s="170" customFormat="1" x14ac:dyDescent="0.2">
      <c r="F1726" s="187"/>
      <c r="G1726" s="187"/>
      <c r="H1726" s="188"/>
      <c r="I1726" s="189"/>
      <c r="J1726" s="190"/>
      <c r="K1726" s="190"/>
      <c r="L1726" s="190"/>
      <c r="M1726" s="191"/>
      <c r="N1726" s="172"/>
      <c r="O1726" s="172"/>
      <c r="P1726" s="172"/>
      <c r="Q1726" s="172"/>
    </row>
    <row r="1727" spans="6:17" s="170" customFormat="1" x14ac:dyDescent="0.2">
      <c r="F1727" s="187"/>
      <c r="G1727" s="187"/>
      <c r="H1727" s="188"/>
      <c r="I1727" s="189"/>
      <c r="J1727" s="190"/>
      <c r="K1727" s="190"/>
      <c r="L1727" s="190"/>
      <c r="M1727" s="191"/>
      <c r="N1727" s="172"/>
      <c r="O1727" s="172"/>
      <c r="P1727" s="172"/>
      <c r="Q1727" s="172"/>
    </row>
    <row r="1728" spans="6:17" s="170" customFormat="1" x14ac:dyDescent="0.2">
      <c r="F1728" s="187"/>
      <c r="G1728" s="187"/>
      <c r="H1728" s="188"/>
      <c r="I1728" s="189"/>
      <c r="J1728" s="190"/>
      <c r="K1728" s="190"/>
      <c r="L1728" s="190"/>
      <c r="M1728" s="191"/>
      <c r="N1728" s="172"/>
      <c r="O1728" s="172"/>
      <c r="P1728" s="172"/>
      <c r="Q1728" s="172"/>
    </row>
    <row r="1729" spans="6:17" s="170" customFormat="1" x14ac:dyDescent="0.2">
      <c r="F1729" s="187"/>
      <c r="G1729" s="187"/>
      <c r="H1729" s="188"/>
      <c r="I1729" s="189"/>
      <c r="J1729" s="190"/>
      <c r="K1729" s="190"/>
      <c r="L1729" s="190"/>
      <c r="M1729" s="191"/>
      <c r="N1729" s="172"/>
      <c r="O1729" s="172"/>
      <c r="P1729" s="172"/>
      <c r="Q1729" s="172"/>
    </row>
    <row r="1730" spans="6:17" s="170" customFormat="1" x14ac:dyDescent="0.2">
      <c r="F1730" s="187"/>
      <c r="G1730" s="187"/>
      <c r="H1730" s="188"/>
      <c r="I1730" s="189"/>
      <c r="J1730" s="190"/>
      <c r="K1730" s="190"/>
      <c r="L1730" s="190"/>
      <c r="M1730" s="191"/>
      <c r="N1730" s="172"/>
      <c r="O1730" s="172"/>
      <c r="P1730" s="172"/>
      <c r="Q1730" s="172"/>
    </row>
    <row r="1731" spans="6:17" s="170" customFormat="1" x14ac:dyDescent="0.2">
      <c r="F1731" s="187"/>
      <c r="G1731" s="187"/>
      <c r="H1731" s="188"/>
      <c r="I1731" s="189"/>
      <c r="J1731" s="190"/>
      <c r="K1731" s="190"/>
      <c r="L1731" s="190"/>
      <c r="M1731" s="191"/>
      <c r="N1731" s="172"/>
      <c r="O1731" s="172"/>
      <c r="P1731" s="172"/>
      <c r="Q1731" s="172"/>
    </row>
    <row r="1732" spans="6:17" s="170" customFormat="1" x14ac:dyDescent="0.2">
      <c r="F1732" s="187"/>
      <c r="G1732" s="187"/>
      <c r="H1732" s="188"/>
      <c r="I1732" s="189"/>
      <c r="J1732" s="190"/>
      <c r="K1732" s="190"/>
      <c r="L1732" s="190"/>
      <c r="M1732" s="191"/>
      <c r="N1732" s="172"/>
      <c r="O1732" s="172"/>
      <c r="P1732" s="172"/>
      <c r="Q1732" s="172"/>
    </row>
    <row r="1733" spans="6:17" s="170" customFormat="1" x14ac:dyDescent="0.2">
      <c r="F1733" s="187"/>
      <c r="G1733" s="187"/>
      <c r="H1733" s="188"/>
      <c r="I1733" s="189"/>
      <c r="J1733" s="190"/>
      <c r="K1733" s="190"/>
      <c r="L1733" s="190"/>
      <c r="M1733" s="191"/>
      <c r="N1733" s="172"/>
      <c r="O1733" s="172"/>
      <c r="P1733" s="172"/>
      <c r="Q1733" s="172"/>
    </row>
    <row r="1734" spans="6:17" s="170" customFormat="1" x14ac:dyDescent="0.2">
      <c r="F1734" s="187"/>
      <c r="G1734" s="187"/>
      <c r="H1734" s="188"/>
      <c r="I1734" s="189"/>
      <c r="J1734" s="190"/>
      <c r="K1734" s="190"/>
      <c r="L1734" s="190"/>
      <c r="M1734" s="191"/>
      <c r="N1734" s="172"/>
      <c r="O1734" s="172"/>
      <c r="P1734" s="172"/>
      <c r="Q1734" s="172"/>
    </row>
    <row r="1735" spans="6:17" s="170" customFormat="1" x14ac:dyDescent="0.2">
      <c r="F1735" s="187"/>
      <c r="G1735" s="187"/>
      <c r="H1735" s="188"/>
      <c r="I1735" s="189"/>
      <c r="J1735" s="190"/>
      <c r="K1735" s="190"/>
      <c r="L1735" s="190"/>
      <c r="M1735" s="191"/>
      <c r="N1735" s="172"/>
      <c r="O1735" s="172"/>
      <c r="P1735" s="172"/>
      <c r="Q1735" s="172"/>
    </row>
    <row r="1736" spans="6:17" s="170" customFormat="1" x14ac:dyDescent="0.2">
      <c r="F1736" s="187"/>
      <c r="G1736" s="187"/>
      <c r="H1736" s="188"/>
      <c r="I1736" s="189"/>
      <c r="J1736" s="190"/>
      <c r="K1736" s="190"/>
      <c r="L1736" s="190"/>
      <c r="M1736" s="191"/>
      <c r="N1736" s="172"/>
      <c r="O1736" s="172"/>
      <c r="P1736" s="172"/>
      <c r="Q1736" s="172"/>
    </row>
    <row r="1737" spans="6:17" s="170" customFormat="1" x14ac:dyDescent="0.2">
      <c r="F1737" s="187"/>
      <c r="G1737" s="187"/>
      <c r="H1737" s="188"/>
      <c r="I1737" s="189"/>
      <c r="J1737" s="190"/>
      <c r="K1737" s="190"/>
      <c r="L1737" s="190"/>
      <c r="M1737" s="191"/>
      <c r="N1737" s="172"/>
      <c r="O1737" s="172"/>
      <c r="P1737" s="172"/>
      <c r="Q1737" s="172"/>
    </row>
    <row r="1738" spans="6:17" s="170" customFormat="1" x14ac:dyDescent="0.2">
      <c r="F1738" s="187"/>
      <c r="G1738" s="187"/>
      <c r="H1738" s="188"/>
      <c r="I1738" s="189"/>
      <c r="J1738" s="190"/>
      <c r="K1738" s="190"/>
      <c r="L1738" s="190"/>
      <c r="M1738" s="191"/>
      <c r="N1738" s="172"/>
      <c r="O1738" s="172"/>
      <c r="P1738" s="172"/>
      <c r="Q1738" s="172"/>
    </row>
    <row r="1739" spans="6:17" s="170" customFormat="1" x14ac:dyDescent="0.2">
      <c r="F1739" s="187"/>
      <c r="G1739" s="187"/>
      <c r="H1739" s="188"/>
      <c r="I1739" s="189"/>
      <c r="J1739" s="190"/>
      <c r="K1739" s="190"/>
      <c r="L1739" s="190"/>
      <c r="M1739" s="191"/>
      <c r="N1739" s="172"/>
      <c r="O1739" s="172"/>
      <c r="P1739" s="172"/>
      <c r="Q1739" s="172"/>
    </row>
    <row r="1740" spans="6:17" s="170" customFormat="1" x14ac:dyDescent="0.2">
      <c r="F1740" s="187"/>
      <c r="G1740" s="187"/>
      <c r="H1740" s="188"/>
      <c r="I1740" s="189"/>
      <c r="J1740" s="190"/>
      <c r="K1740" s="190"/>
      <c r="L1740" s="190"/>
      <c r="M1740" s="191"/>
      <c r="N1740" s="172"/>
      <c r="O1740" s="172"/>
      <c r="P1740" s="172"/>
      <c r="Q1740" s="172"/>
    </row>
    <row r="1741" spans="6:17" s="170" customFormat="1" x14ac:dyDescent="0.2">
      <c r="F1741" s="187"/>
      <c r="G1741" s="187"/>
      <c r="H1741" s="188"/>
      <c r="I1741" s="189"/>
      <c r="J1741" s="190"/>
      <c r="K1741" s="190"/>
      <c r="L1741" s="190"/>
      <c r="M1741" s="191"/>
      <c r="N1741" s="172"/>
      <c r="O1741" s="172"/>
      <c r="P1741" s="172"/>
      <c r="Q1741" s="172"/>
    </row>
    <row r="1742" spans="6:17" s="170" customFormat="1" x14ac:dyDescent="0.2">
      <c r="F1742" s="187"/>
      <c r="G1742" s="187"/>
      <c r="H1742" s="188"/>
      <c r="I1742" s="189"/>
      <c r="J1742" s="190"/>
      <c r="K1742" s="190"/>
      <c r="L1742" s="190"/>
      <c r="M1742" s="191"/>
      <c r="N1742" s="172"/>
      <c r="O1742" s="172"/>
      <c r="P1742" s="172"/>
      <c r="Q1742" s="172"/>
    </row>
    <row r="1743" spans="6:17" s="170" customFormat="1" x14ac:dyDescent="0.2">
      <c r="F1743" s="187"/>
      <c r="G1743" s="187"/>
      <c r="H1743" s="188"/>
      <c r="I1743" s="189"/>
      <c r="J1743" s="190"/>
      <c r="K1743" s="190"/>
      <c r="L1743" s="190"/>
      <c r="M1743" s="191"/>
      <c r="N1743" s="172"/>
      <c r="O1743" s="172"/>
      <c r="P1743" s="172"/>
      <c r="Q1743" s="172"/>
    </row>
    <row r="1744" spans="6:17" s="170" customFormat="1" x14ac:dyDescent="0.2">
      <c r="F1744" s="187"/>
      <c r="G1744" s="187"/>
      <c r="H1744" s="188"/>
      <c r="I1744" s="189"/>
      <c r="J1744" s="190"/>
      <c r="K1744" s="190"/>
      <c r="L1744" s="190"/>
      <c r="M1744" s="191"/>
      <c r="N1744" s="172"/>
      <c r="O1744" s="172"/>
      <c r="P1744" s="172"/>
      <c r="Q1744" s="172"/>
    </row>
    <row r="1745" spans="6:17" s="170" customFormat="1" x14ac:dyDescent="0.2">
      <c r="F1745" s="187"/>
      <c r="G1745" s="187"/>
      <c r="H1745" s="188"/>
      <c r="I1745" s="189"/>
      <c r="J1745" s="190"/>
      <c r="K1745" s="190"/>
      <c r="L1745" s="190"/>
      <c r="M1745" s="191"/>
      <c r="N1745" s="172"/>
      <c r="O1745" s="172"/>
      <c r="P1745" s="172"/>
      <c r="Q1745" s="172"/>
    </row>
    <row r="1746" spans="6:17" s="170" customFormat="1" x14ac:dyDescent="0.2">
      <c r="F1746" s="187"/>
      <c r="G1746" s="187"/>
      <c r="H1746" s="188"/>
      <c r="I1746" s="189"/>
      <c r="J1746" s="190"/>
      <c r="K1746" s="190"/>
      <c r="L1746" s="190"/>
      <c r="M1746" s="191"/>
      <c r="N1746" s="172"/>
      <c r="O1746" s="172"/>
      <c r="P1746" s="172"/>
      <c r="Q1746" s="172"/>
    </row>
    <row r="1747" spans="6:17" s="170" customFormat="1" x14ac:dyDescent="0.2">
      <c r="F1747" s="187"/>
      <c r="G1747" s="187"/>
      <c r="H1747" s="188"/>
      <c r="I1747" s="189"/>
      <c r="J1747" s="190"/>
      <c r="K1747" s="190"/>
      <c r="L1747" s="190"/>
      <c r="M1747" s="191"/>
      <c r="N1747" s="172"/>
      <c r="O1747" s="172"/>
      <c r="P1747" s="172"/>
      <c r="Q1747" s="172"/>
    </row>
    <row r="1748" spans="6:17" s="170" customFormat="1" x14ac:dyDescent="0.2">
      <c r="F1748" s="187"/>
      <c r="G1748" s="187"/>
      <c r="H1748" s="188"/>
      <c r="I1748" s="189"/>
      <c r="J1748" s="190"/>
      <c r="K1748" s="190"/>
      <c r="L1748" s="190"/>
      <c r="M1748" s="191"/>
      <c r="N1748" s="172"/>
      <c r="O1748" s="172"/>
      <c r="P1748" s="172"/>
      <c r="Q1748" s="172"/>
    </row>
    <row r="1749" spans="6:17" s="170" customFormat="1" x14ac:dyDescent="0.2">
      <c r="F1749" s="187"/>
      <c r="G1749" s="187"/>
      <c r="H1749" s="188"/>
      <c r="I1749" s="189"/>
      <c r="J1749" s="190"/>
      <c r="K1749" s="190"/>
      <c r="L1749" s="190"/>
      <c r="M1749" s="191"/>
      <c r="N1749" s="172"/>
      <c r="O1749" s="172"/>
      <c r="P1749" s="172"/>
      <c r="Q1749" s="172"/>
    </row>
    <row r="1750" spans="6:17" s="170" customFormat="1" x14ac:dyDescent="0.2">
      <c r="F1750" s="187"/>
      <c r="G1750" s="187"/>
      <c r="H1750" s="188"/>
      <c r="I1750" s="189"/>
      <c r="J1750" s="190"/>
      <c r="K1750" s="190"/>
      <c r="L1750" s="190"/>
      <c r="M1750" s="191"/>
      <c r="N1750" s="172"/>
      <c r="O1750" s="172"/>
      <c r="P1750" s="172"/>
      <c r="Q1750" s="172"/>
    </row>
    <row r="1751" spans="6:17" s="170" customFormat="1" x14ac:dyDescent="0.2">
      <c r="F1751" s="187"/>
      <c r="G1751" s="187"/>
      <c r="H1751" s="188"/>
      <c r="I1751" s="189"/>
      <c r="J1751" s="190"/>
      <c r="K1751" s="190"/>
      <c r="L1751" s="190"/>
      <c r="M1751" s="191"/>
      <c r="N1751" s="172"/>
      <c r="O1751" s="172"/>
      <c r="P1751" s="172"/>
      <c r="Q1751" s="172"/>
    </row>
    <row r="1752" spans="6:17" s="170" customFormat="1" x14ac:dyDescent="0.2">
      <c r="F1752" s="187"/>
      <c r="G1752" s="187"/>
      <c r="H1752" s="188"/>
      <c r="I1752" s="189"/>
      <c r="J1752" s="190"/>
      <c r="K1752" s="190"/>
      <c r="L1752" s="190"/>
      <c r="M1752" s="191"/>
      <c r="N1752" s="172"/>
      <c r="O1752" s="172"/>
      <c r="P1752" s="172"/>
      <c r="Q1752" s="172"/>
    </row>
    <row r="1753" spans="6:17" s="170" customFormat="1" x14ac:dyDescent="0.2">
      <c r="F1753" s="187"/>
      <c r="G1753" s="187"/>
      <c r="H1753" s="188"/>
      <c r="I1753" s="189"/>
      <c r="J1753" s="190"/>
      <c r="K1753" s="190"/>
      <c r="L1753" s="190"/>
      <c r="M1753" s="191"/>
      <c r="N1753" s="172"/>
      <c r="O1753" s="172"/>
      <c r="P1753" s="172"/>
      <c r="Q1753" s="172"/>
    </row>
    <row r="1754" spans="6:17" s="170" customFormat="1" x14ac:dyDescent="0.2">
      <c r="F1754" s="187"/>
      <c r="G1754" s="187"/>
      <c r="H1754" s="188"/>
      <c r="I1754" s="189"/>
      <c r="J1754" s="190"/>
      <c r="K1754" s="190"/>
      <c r="L1754" s="190"/>
      <c r="M1754" s="191"/>
      <c r="N1754" s="172"/>
      <c r="O1754" s="172"/>
      <c r="P1754" s="172"/>
      <c r="Q1754" s="172"/>
    </row>
    <row r="1755" spans="6:17" s="170" customFormat="1" x14ac:dyDescent="0.2">
      <c r="F1755" s="187"/>
      <c r="G1755" s="187"/>
      <c r="H1755" s="188"/>
      <c r="I1755" s="189"/>
      <c r="J1755" s="190"/>
      <c r="K1755" s="190"/>
      <c r="L1755" s="190"/>
      <c r="M1755" s="191"/>
      <c r="N1755" s="172"/>
      <c r="O1755" s="172"/>
      <c r="P1755" s="172"/>
      <c r="Q1755" s="172"/>
    </row>
    <row r="1756" spans="6:17" s="170" customFormat="1" x14ac:dyDescent="0.2">
      <c r="F1756" s="187"/>
      <c r="G1756" s="187"/>
      <c r="H1756" s="188"/>
      <c r="I1756" s="189"/>
      <c r="J1756" s="190"/>
      <c r="K1756" s="190"/>
      <c r="L1756" s="190"/>
      <c r="M1756" s="191"/>
      <c r="N1756" s="172"/>
      <c r="O1756" s="172"/>
      <c r="P1756" s="172"/>
      <c r="Q1756" s="172"/>
    </row>
    <row r="1757" spans="6:17" s="170" customFormat="1" x14ac:dyDescent="0.2">
      <c r="F1757" s="187"/>
      <c r="G1757" s="187"/>
      <c r="H1757" s="188"/>
      <c r="I1757" s="189"/>
      <c r="J1757" s="190"/>
      <c r="K1757" s="190"/>
      <c r="L1757" s="190"/>
      <c r="M1757" s="191"/>
      <c r="N1757" s="172"/>
      <c r="O1757" s="172"/>
      <c r="P1757" s="172"/>
      <c r="Q1757" s="172"/>
    </row>
    <row r="1758" spans="6:17" s="170" customFormat="1" x14ac:dyDescent="0.2">
      <c r="F1758" s="187"/>
      <c r="G1758" s="187"/>
      <c r="H1758" s="188"/>
      <c r="I1758" s="189"/>
      <c r="J1758" s="190"/>
      <c r="K1758" s="190"/>
      <c r="L1758" s="190"/>
      <c r="M1758" s="191"/>
      <c r="N1758" s="172"/>
      <c r="O1758" s="172"/>
      <c r="P1758" s="172"/>
      <c r="Q1758" s="172"/>
    </row>
    <row r="1759" spans="6:17" s="170" customFormat="1" x14ac:dyDescent="0.2">
      <c r="F1759" s="187"/>
      <c r="G1759" s="187"/>
      <c r="H1759" s="188"/>
      <c r="I1759" s="189"/>
      <c r="J1759" s="190"/>
      <c r="K1759" s="190"/>
      <c r="L1759" s="190"/>
      <c r="M1759" s="191"/>
      <c r="N1759" s="172"/>
      <c r="O1759" s="172"/>
      <c r="P1759" s="172"/>
      <c r="Q1759" s="172"/>
    </row>
    <row r="1760" spans="6:17" s="170" customFormat="1" x14ac:dyDescent="0.2">
      <c r="F1760" s="187"/>
      <c r="G1760" s="187"/>
      <c r="H1760" s="188"/>
      <c r="I1760" s="189"/>
      <c r="J1760" s="190"/>
      <c r="K1760" s="190"/>
      <c r="L1760" s="190"/>
      <c r="M1760" s="191"/>
      <c r="N1760" s="172"/>
      <c r="O1760" s="172"/>
      <c r="P1760" s="172"/>
      <c r="Q1760" s="172"/>
    </row>
    <row r="1761" spans="6:17" s="170" customFormat="1" x14ac:dyDescent="0.2">
      <c r="F1761" s="187"/>
      <c r="G1761" s="187"/>
      <c r="H1761" s="188"/>
      <c r="I1761" s="189"/>
      <c r="J1761" s="190"/>
      <c r="K1761" s="190"/>
      <c r="L1761" s="190"/>
      <c r="M1761" s="191"/>
      <c r="N1761" s="172"/>
      <c r="O1761" s="172"/>
      <c r="P1761" s="172"/>
      <c r="Q1761" s="172"/>
    </row>
    <row r="1762" spans="6:17" s="170" customFormat="1" x14ac:dyDescent="0.2">
      <c r="F1762" s="187"/>
      <c r="G1762" s="187"/>
      <c r="H1762" s="188"/>
      <c r="I1762" s="189"/>
      <c r="J1762" s="190"/>
      <c r="K1762" s="190"/>
      <c r="L1762" s="190"/>
      <c r="M1762" s="191"/>
      <c r="N1762" s="172"/>
      <c r="O1762" s="172"/>
      <c r="P1762" s="172"/>
      <c r="Q1762" s="172"/>
    </row>
    <row r="1763" spans="6:17" s="170" customFormat="1" x14ac:dyDescent="0.2">
      <c r="F1763" s="187"/>
      <c r="G1763" s="187"/>
      <c r="H1763" s="188"/>
      <c r="I1763" s="189"/>
      <c r="J1763" s="190"/>
      <c r="K1763" s="190"/>
      <c r="L1763" s="190"/>
      <c r="M1763" s="191"/>
      <c r="N1763" s="172"/>
      <c r="O1763" s="172"/>
      <c r="P1763" s="172"/>
      <c r="Q1763" s="172"/>
    </row>
    <row r="1764" spans="6:17" s="170" customFormat="1" x14ac:dyDescent="0.2">
      <c r="F1764" s="187"/>
      <c r="G1764" s="187"/>
      <c r="H1764" s="188"/>
      <c r="I1764" s="189"/>
      <c r="J1764" s="190"/>
      <c r="K1764" s="190"/>
      <c r="L1764" s="190"/>
      <c r="M1764" s="191"/>
      <c r="N1764" s="172"/>
      <c r="O1764" s="172"/>
      <c r="P1764" s="172"/>
      <c r="Q1764" s="172"/>
    </row>
    <row r="1765" spans="6:17" s="170" customFormat="1" x14ac:dyDescent="0.2">
      <c r="F1765" s="187"/>
      <c r="G1765" s="187"/>
      <c r="H1765" s="188"/>
      <c r="I1765" s="189"/>
      <c r="J1765" s="190"/>
      <c r="K1765" s="190"/>
      <c r="L1765" s="190"/>
      <c r="M1765" s="191"/>
      <c r="N1765" s="172"/>
      <c r="O1765" s="172"/>
      <c r="P1765" s="172"/>
      <c r="Q1765" s="172"/>
    </row>
    <row r="1766" spans="6:17" s="170" customFormat="1" x14ac:dyDescent="0.2">
      <c r="F1766" s="187"/>
      <c r="G1766" s="187"/>
      <c r="H1766" s="188"/>
      <c r="I1766" s="189"/>
      <c r="J1766" s="190"/>
      <c r="K1766" s="190"/>
      <c r="L1766" s="190"/>
      <c r="M1766" s="191"/>
      <c r="N1766" s="172"/>
      <c r="O1766" s="172"/>
      <c r="P1766" s="172"/>
      <c r="Q1766" s="172"/>
    </row>
    <row r="1767" spans="6:17" s="170" customFormat="1" x14ac:dyDescent="0.2">
      <c r="F1767" s="187"/>
      <c r="G1767" s="187"/>
      <c r="H1767" s="188"/>
      <c r="I1767" s="189"/>
      <c r="J1767" s="190"/>
      <c r="K1767" s="190"/>
      <c r="L1767" s="190"/>
      <c r="M1767" s="191"/>
      <c r="N1767" s="172"/>
      <c r="O1767" s="172"/>
      <c r="P1767" s="172"/>
      <c r="Q1767" s="172"/>
    </row>
    <row r="1768" spans="6:17" s="170" customFormat="1" x14ac:dyDescent="0.2">
      <c r="F1768" s="187"/>
      <c r="G1768" s="187"/>
      <c r="H1768" s="188"/>
      <c r="I1768" s="189"/>
      <c r="J1768" s="190"/>
      <c r="K1768" s="190"/>
      <c r="L1768" s="190"/>
      <c r="M1768" s="191"/>
      <c r="N1768" s="172"/>
      <c r="O1768" s="172"/>
      <c r="P1768" s="172"/>
      <c r="Q1768" s="172"/>
    </row>
    <row r="1769" spans="6:17" s="170" customFormat="1" x14ac:dyDescent="0.2">
      <c r="F1769" s="187"/>
      <c r="G1769" s="187"/>
      <c r="H1769" s="188"/>
      <c r="I1769" s="189"/>
      <c r="J1769" s="190"/>
      <c r="K1769" s="190"/>
      <c r="L1769" s="190"/>
      <c r="M1769" s="191"/>
      <c r="N1769" s="172"/>
      <c r="O1769" s="172"/>
      <c r="P1769" s="172"/>
      <c r="Q1769" s="172"/>
    </row>
    <row r="1770" spans="6:17" s="170" customFormat="1" x14ac:dyDescent="0.2">
      <c r="F1770" s="187"/>
      <c r="G1770" s="187"/>
      <c r="H1770" s="188"/>
      <c r="I1770" s="189"/>
      <c r="J1770" s="190"/>
      <c r="K1770" s="190"/>
      <c r="L1770" s="190"/>
      <c r="M1770" s="191"/>
      <c r="N1770" s="172"/>
      <c r="O1770" s="172"/>
      <c r="P1770" s="172"/>
      <c r="Q1770" s="172"/>
    </row>
    <row r="1771" spans="6:17" s="170" customFormat="1" x14ac:dyDescent="0.2">
      <c r="F1771" s="187"/>
      <c r="G1771" s="187"/>
      <c r="H1771" s="188"/>
      <c r="I1771" s="189"/>
      <c r="J1771" s="190"/>
      <c r="K1771" s="190"/>
      <c r="L1771" s="190"/>
      <c r="M1771" s="191"/>
      <c r="N1771" s="172"/>
      <c r="O1771" s="172"/>
      <c r="P1771" s="172"/>
      <c r="Q1771" s="172"/>
    </row>
    <row r="1772" spans="6:17" s="170" customFormat="1" x14ac:dyDescent="0.2">
      <c r="F1772" s="187"/>
      <c r="G1772" s="187"/>
      <c r="H1772" s="188"/>
      <c r="I1772" s="189"/>
      <c r="J1772" s="190"/>
      <c r="K1772" s="190"/>
      <c r="L1772" s="190"/>
      <c r="M1772" s="191"/>
      <c r="N1772" s="172"/>
      <c r="O1772" s="172"/>
      <c r="P1772" s="172"/>
      <c r="Q1772" s="172"/>
    </row>
    <row r="1773" spans="6:17" s="170" customFormat="1" x14ac:dyDescent="0.2">
      <c r="F1773" s="187"/>
      <c r="G1773" s="187"/>
      <c r="H1773" s="188"/>
      <c r="I1773" s="189"/>
      <c r="J1773" s="190"/>
      <c r="K1773" s="190"/>
      <c r="L1773" s="190"/>
      <c r="M1773" s="191"/>
      <c r="N1773" s="172"/>
      <c r="O1773" s="172"/>
      <c r="P1773" s="172"/>
      <c r="Q1773" s="172"/>
    </row>
    <row r="1774" spans="6:17" s="170" customFormat="1" x14ac:dyDescent="0.2">
      <c r="F1774" s="187"/>
      <c r="G1774" s="187"/>
      <c r="H1774" s="188"/>
      <c r="I1774" s="189"/>
      <c r="J1774" s="190"/>
      <c r="K1774" s="190"/>
      <c r="L1774" s="190"/>
      <c r="M1774" s="191"/>
      <c r="N1774" s="172"/>
      <c r="O1774" s="172"/>
      <c r="P1774" s="172"/>
      <c r="Q1774" s="172"/>
    </row>
    <row r="1775" spans="6:17" s="170" customFormat="1" x14ac:dyDescent="0.2">
      <c r="F1775" s="187"/>
      <c r="G1775" s="187"/>
      <c r="H1775" s="188"/>
      <c r="I1775" s="189"/>
      <c r="J1775" s="190"/>
      <c r="K1775" s="190"/>
      <c r="L1775" s="190"/>
      <c r="M1775" s="191"/>
      <c r="N1775" s="172"/>
      <c r="O1775" s="172"/>
      <c r="P1775" s="172"/>
      <c r="Q1775" s="172"/>
    </row>
    <row r="1776" spans="6:17" s="170" customFormat="1" x14ac:dyDescent="0.2">
      <c r="F1776" s="187"/>
      <c r="G1776" s="187"/>
      <c r="H1776" s="188"/>
      <c r="I1776" s="189"/>
      <c r="J1776" s="190"/>
      <c r="K1776" s="190"/>
      <c r="L1776" s="190"/>
      <c r="M1776" s="191"/>
      <c r="N1776" s="172"/>
      <c r="O1776" s="172"/>
      <c r="P1776" s="172"/>
      <c r="Q1776" s="172"/>
    </row>
    <row r="1777" spans="6:17" s="170" customFormat="1" x14ac:dyDescent="0.2">
      <c r="F1777" s="187"/>
      <c r="G1777" s="187"/>
      <c r="H1777" s="188"/>
      <c r="I1777" s="189"/>
      <c r="J1777" s="190"/>
      <c r="K1777" s="190"/>
      <c r="L1777" s="190"/>
      <c r="M1777" s="191"/>
      <c r="N1777" s="172"/>
      <c r="O1777" s="172"/>
      <c r="P1777" s="172"/>
      <c r="Q1777" s="172"/>
    </row>
    <row r="1778" spans="6:17" s="170" customFormat="1" x14ac:dyDescent="0.2">
      <c r="F1778" s="187"/>
      <c r="G1778" s="187"/>
      <c r="H1778" s="188"/>
      <c r="I1778" s="189"/>
      <c r="J1778" s="190"/>
      <c r="K1778" s="190"/>
      <c r="L1778" s="190"/>
      <c r="M1778" s="191"/>
      <c r="N1778" s="172"/>
      <c r="O1778" s="172"/>
      <c r="P1778" s="172"/>
      <c r="Q1778" s="172"/>
    </row>
    <row r="1779" spans="6:17" s="170" customFormat="1" x14ac:dyDescent="0.2">
      <c r="F1779" s="187"/>
      <c r="G1779" s="187"/>
      <c r="H1779" s="188"/>
      <c r="I1779" s="189"/>
      <c r="J1779" s="190"/>
      <c r="K1779" s="190"/>
      <c r="L1779" s="190"/>
      <c r="M1779" s="191"/>
      <c r="N1779" s="172"/>
      <c r="O1779" s="172"/>
      <c r="P1779" s="172"/>
      <c r="Q1779" s="172"/>
    </row>
    <row r="1780" spans="6:17" s="170" customFormat="1" x14ac:dyDescent="0.2">
      <c r="F1780" s="187"/>
      <c r="G1780" s="187"/>
      <c r="H1780" s="188"/>
      <c r="I1780" s="189"/>
      <c r="J1780" s="190"/>
      <c r="K1780" s="190"/>
      <c r="L1780" s="190"/>
      <c r="M1780" s="191"/>
      <c r="N1780" s="172"/>
      <c r="O1780" s="172"/>
      <c r="P1780" s="172"/>
      <c r="Q1780" s="172"/>
    </row>
    <row r="1781" spans="6:17" s="170" customFormat="1" x14ac:dyDescent="0.2">
      <c r="F1781" s="187"/>
      <c r="G1781" s="187"/>
      <c r="H1781" s="188"/>
      <c r="I1781" s="189"/>
      <c r="J1781" s="190"/>
      <c r="K1781" s="190"/>
      <c r="L1781" s="190"/>
      <c r="M1781" s="191"/>
      <c r="N1781" s="172"/>
      <c r="O1781" s="172"/>
      <c r="P1781" s="172"/>
      <c r="Q1781" s="172"/>
    </row>
    <row r="1782" spans="6:17" s="170" customFormat="1" x14ac:dyDescent="0.2">
      <c r="F1782" s="187"/>
      <c r="G1782" s="187"/>
      <c r="H1782" s="188"/>
      <c r="I1782" s="189"/>
      <c r="J1782" s="190"/>
      <c r="K1782" s="190"/>
      <c r="L1782" s="190"/>
      <c r="M1782" s="191"/>
      <c r="N1782" s="172"/>
      <c r="O1782" s="172"/>
      <c r="P1782" s="172"/>
      <c r="Q1782" s="172"/>
    </row>
    <row r="1783" spans="6:17" s="170" customFormat="1" x14ac:dyDescent="0.2">
      <c r="F1783" s="187"/>
      <c r="G1783" s="187"/>
      <c r="H1783" s="188"/>
      <c r="I1783" s="189"/>
      <c r="J1783" s="190"/>
      <c r="K1783" s="190"/>
      <c r="L1783" s="190"/>
      <c r="M1783" s="191"/>
      <c r="N1783" s="172"/>
      <c r="O1783" s="172"/>
      <c r="P1783" s="172"/>
      <c r="Q1783" s="172"/>
    </row>
    <row r="1784" spans="6:17" s="170" customFormat="1" x14ac:dyDescent="0.2">
      <c r="F1784" s="187"/>
      <c r="G1784" s="187"/>
      <c r="H1784" s="188"/>
      <c r="I1784" s="189"/>
      <c r="J1784" s="190"/>
      <c r="K1784" s="190"/>
      <c r="L1784" s="190"/>
      <c r="M1784" s="191"/>
      <c r="N1784" s="172"/>
      <c r="O1784" s="172"/>
      <c r="P1784" s="172"/>
      <c r="Q1784" s="172"/>
    </row>
    <row r="1785" spans="6:17" s="170" customFormat="1" x14ac:dyDescent="0.2">
      <c r="F1785" s="187"/>
      <c r="G1785" s="187"/>
      <c r="H1785" s="188"/>
      <c r="I1785" s="189"/>
      <c r="J1785" s="190"/>
      <c r="K1785" s="190"/>
      <c r="L1785" s="190"/>
      <c r="M1785" s="191"/>
      <c r="N1785" s="172"/>
      <c r="O1785" s="172"/>
      <c r="P1785" s="172"/>
      <c r="Q1785" s="172"/>
    </row>
    <row r="1786" spans="6:17" s="170" customFormat="1" x14ac:dyDescent="0.2">
      <c r="F1786" s="187"/>
      <c r="G1786" s="187"/>
      <c r="H1786" s="188"/>
      <c r="I1786" s="189"/>
      <c r="J1786" s="190"/>
      <c r="K1786" s="190"/>
      <c r="L1786" s="190"/>
      <c r="M1786" s="191"/>
      <c r="N1786" s="172"/>
      <c r="O1786" s="172"/>
      <c r="P1786" s="172"/>
      <c r="Q1786" s="172"/>
    </row>
    <row r="1787" spans="6:17" s="170" customFormat="1" x14ac:dyDescent="0.2">
      <c r="F1787" s="187"/>
      <c r="G1787" s="187"/>
      <c r="H1787" s="188"/>
      <c r="I1787" s="189"/>
      <c r="J1787" s="190"/>
      <c r="K1787" s="190"/>
      <c r="L1787" s="190"/>
      <c r="M1787" s="191"/>
      <c r="N1787" s="172"/>
      <c r="O1787" s="172"/>
      <c r="P1787" s="172"/>
      <c r="Q1787" s="172"/>
    </row>
    <row r="1788" spans="6:17" s="170" customFormat="1" x14ac:dyDescent="0.2">
      <c r="F1788" s="187"/>
      <c r="G1788" s="187"/>
      <c r="H1788" s="188"/>
      <c r="I1788" s="189"/>
      <c r="J1788" s="190"/>
      <c r="K1788" s="190"/>
      <c r="L1788" s="190"/>
      <c r="M1788" s="191"/>
      <c r="N1788" s="172"/>
      <c r="O1788" s="172"/>
      <c r="P1788" s="172"/>
      <c r="Q1788" s="172"/>
    </row>
    <row r="1789" spans="6:17" s="170" customFormat="1" x14ac:dyDescent="0.2">
      <c r="F1789" s="187"/>
      <c r="G1789" s="187"/>
      <c r="H1789" s="188"/>
      <c r="I1789" s="189"/>
      <c r="J1789" s="190"/>
      <c r="K1789" s="190"/>
      <c r="L1789" s="190"/>
      <c r="M1789" s="191"/>
      <c r="N1789" s="172"/>
      <c r="O1789" s="172"/>
      <c r="P1789" s="172"/>
      <c r="Q1789" s="172"/>
    </row>
    <row r="1790" spans="6:17" s="170" customFormat="1" x14ac:dyDescent="0.2">
      <c r="F1790" s="187"/>
      <c r="G1790" s="187"/>
      <c r="H1790" s="188"/>
      <c r="I1790" s="189"/>
      <c r="J1790" s="190"/>
      <c r="K1790" s="190"/>
      <c r="L1790" s="190"/>
      <c r="M1790" s="191"/>
      <c r="N1790" s="172"/>
      <c r="O1790" s="172"/>
      <c r="P1790" s="172"/>
      <c r="Q1790" s="172"/>
    </row>
    <row r="1791" spans="6:17" s="170" customFormat="1" x14ac:dyDescent="0.2">
      <c r="F1791" s="187"/>
      <c r="G1791" s="187"/>
      <c r="H1791" s="188"/>
      <c r="I1791" s="189"/>
      <c r="J1791" s="190"/>
      <c r="K1791" s="190"/>
      <c r="L1791" s="190"/>
      <c r="M1791" s="191"/>
      <c r="N1791" s="172"/>
      <c r="O1791" s="172"/>
      <c r="P1791" s="172"/>
      <c r="Q1791" s="172"/>
    </row>
    <row r="1792" spans="6:17" s="170" customFormat="1" x14ac:dyDescent="0.2">
      <c r="F1792" s="187"/>
      <c r="G1792" s="187"/>
      <c r="H1792" s="188"/>
      <c r="I1792" s="189"/>
      <c r="J1792" s="190"/>
      <c r="K1792" s="190"/>
      <c r="L1792" s="190"/>
      <c r="M1792" s="191"/>
      <c r="N1792" s="172"/>
      <c r="O1792" s="172"/>
      <c r="P1792" s="172"/>
      <c r="Q1792" s="172"/>
    </row>
    <row r="1793" spans="6:17" s="170" customFormat="1" x14ac:dyDescent="0.2">
      <c r="F1793" s="187"/>
      <c r="G1793" s="187"/>
      <c r="H1793" s="188"/>
      <c r="I1793" s="189"/>
      <c r="J1793" s="190"/>
      <c r="K1793" s="190"/>
      <c r="L1793" s="190"/>
      <c r="M1793" s="191"/>
      <c r="N1793" s="172"/>
      <c r="O1793" s="172"/>
      <c r="P1793" s="172"/>
      <c r="Q1793" s="172"/>
    </row>
    <row r="1794" spans="6:17" s="170" customFormat="1" x14ac:dyDescent="0.2">
      <c r="F1794" s="187"/>
      <c r="G1794" s="187"/>
      <c r="H1794" s="188"/>
      <c r="I1794" s="189"/>
      <c r="J1794" s="190"/>
      <c r="K1794" s="190"/>
      <c r="L1794" s="190"/>
      <c r="M1794" s="191"/>
      <c r="N1794" s="172"/>
      <c r="O1794" s="172"/>
      <c r="P1794" s="172"/>
      <c r="Q1794" s="172"/>
    </row>
    <row r="1795" spans="6:17" s="170" customFormat="1" x14ac:dyDescent="0.2">
      <c r="F1795" s="187"/>
      <c r="G1795" s="187"/>
      <c r="H1795" s="188"/>
      <c r="I1795" s="189"/>
      <c r="J1795" s="190"/>
      <c r="K1795" s="190"/>
      <c r="L1795" s="190"/>
      <c r="M1795" s="191"/>
      <c r="N1795" s="172"/>
      <c r="O1795" s="172"/>
      <c r="P1795" s="172"/>
      <c r="Q1795" s="172"/>
    </row>
    <row r="1796" spans="6:17" s="170" customFormat="1" x14ac:dyDescent="0.2">
      <c r="F1796" s="187"/>
      <c r="G1796" s="187"/>
      <c r="H1796" s="188"/>
      <c r="I1796" s="189"/>
      <c r="J1796" s="190"/>
      <c r="K1796" s="190"/>
      <c r="L1796" s="190"/>
      <c r="M1796" s="191"/>
      <c r="N1796" s="172"/>
      <c r="O1796" s="172"/>
      <c r="P1796" s="172"/>
      <c r="Q1796" s="172"/>
    </row>
    <row r="1797" spans="6:17" s="170" customFormat="1" x14ac:dyDescent="0.2">
      <c r="F1797" s="187"/>
      <c r="G1797" s="187"/>
      <c r="H1797" s="188"/>
      <c r="I1797" s="189"/>
      <c r="J1797" s="190"/>
      <c r="K1797" s="190"/>
      <c r="L1797" s="190"/>
      <c r="M1797" s="191"/>
      <c r="N1797" s="172"/>
      <c r="O1797" s="172"/>
      <c r="P1797" s="172"/>
      <c r="Q1797" s="172"/>
    </row>
    <row r="1798" spans="6:17" s="170" customFormat="1" x14ac:dyDescent="0.2">
      <c r="F1798" s="187"/>
      <c r="G1798" s="187"/>
      <c r="H1798" s="188"/>
      <c r="I1798" s="189"/>
      <c r="J1798" s="190"/>
      <c r="K1798" s="190"/>
      <c r="L1798" s="190"/>
      <c r="M1798" s="191"/>
      <c r="N1798" s="172"/>
      <c r="O1798" s="172"/>
      <c r="P1798" s="172"/>
      <c r="Q1798" s="172"/>
    </row>
    <row r="1799" spans="6:17" s="170" customFormat="1" x14ac:dyDescent="0.2">
      <c r="F1799" s="187"/>
      <c r="G1799" s="187"/>
      <c r="H1799" s="188"/>
      <c r="I1799" s="189"/>
      <c r="J1799" s="190"/>
      <c r="K1799" s="190"/>
      <c r="L1799" s="190"/>
      <c r="M1799" s="191"/>
      <c r="N1799" s="172"/>
      <c r="O1799" s="172"/>
      <c r="P1799" s="172"/>
      <c r="Q1799" s="172"/>
    </row>
    <row r="1800" spans="6:17" s="170" customFormat="1" x14ac:dyDescent="0.2">
      <c r="F1800" s="187"/>
      <c r="G1800" s="187"/>
      <c r="H1800" s="188"/>
      <c r="I1800" s="189"/>
      <c r="J1800" s="190"/>
      <c r="K1800" s="190"/>
      <c r="L1800" s="190"/>
      <c r="M1800" s="191"/>
      <c r="N1800" s="172"/>
      <c r="O1800" s="172"/>
      <c r="P1800" s="172"/>
      <c r="Q1800" s="172"/>
    </row>
    <row r="1801" spans="6:17" s="170" customFormat="1" x14ac:dyDescent="0.2">
      <c r="F1801" s="187"/>
      <c r="G1801" s="187"/>
      <c r="H1801" s="188"/>
      <c r="I1801" s="189"/>
      <c r="J1801" s="190"/>
      <c r="K1801" s="190"/>
      <c r="L1801" s="190"/>
      <c r="M1801" s="191"/>
      <c r="N1801" s="172"/>
      <c r="O1801" s="172"/>
      <c r="P1801" s="172"/>
      <c r="Q1801" s="172"/>
    </row>
    <row r="1802" spans="6:17" s="170" customFormat="1" x14ac:dyDescent="0.2">
      <c r="F1802" s="187"/>
      <c r="G1802" s="187"/>
      <c r="H1802" s="188"/>
      <c r="I1802" s="189"/>
      <c r="J1802" s="190"/>
      <c r="K1802" s="190"/>
      <c r="L1802" s="190"/>
      <c r="M1802" s="191"/>
      <c r="N1802" s="172"/>
      <c r="O1802" s="172"/>
      <c r="P1802" s="172"/>
      <c r="Q1802" s="172"/>
    </row>
    <row r="1803" spans="6:17" s="170" customFormat="1" x14ac:dyDescent="0.2">
      <c r="F1803" s="187"/>
      <c r="G1803" s="187"/>
      <c r="H1803" s="188"/>
      <c r="I1803" s="189"/>
      <c r="J1803" s="190"/>
      <c r="K1803" s="190"/>
      <c r="L1803" s="190"/>
      <c r="M1803" s="191"/>
      <c r="N1803" s="172"/>
      <c r="O1803" s="172"/>
      <c r="P1803" s="172"/>
      <c r="Q1803" s="172"/>
    </row>
    <row r="1804" spans="6:17" s="170" customFormat="1" x14ac:dyDescent="0.2">
      <c r="F1804" s="187"/>
      <c r="G1804" s="187"/>
      <c r="H1804" s="188"/>
      <c r="I1804" s="189"/>
      <c r="J1804" s="190"/>
      <c r="K1804" s="190"/>
      <c r="L1804" s="190"/>
      <c r="M1804" s="191"/>
      <c r="N1804" s="172"/>
      <c r="O1804" s="172"/>
      <c r="P1804" s="172"/>
      <c r="Q1804" s="172"/>
    </row>
    <row r="1805" spans="6:17" s="170" customFormat="1" x14ac:dyDescent="0.2">
      <c r="F1805" s="187"/>
      <c r="G1805" s="187"/>
      <c r="H1805" s="188"/>
      <c r="I1805" s="189"/>
      <c r="J1805" s="190"/>
      <c r="K1805" s="190"/>
      <c r="L1805" s="190"/>
      <c r="M1805" s="191"/>
      <c r="N1805" s="172"/>
      <c r="O1805" s="172"/>
      <c r="P1805" s="172"/>
      <c r="Q1805" s="172"/>
    </row>
    <row r="1806" spans="6:17" s="170" customFormat="1" x14ac:dyDescent="0.2">
      <c r="F1806" s="187"/>
      <c r="G1806" s="187"/>
      <c r="H1806" s="188"/>
      <c r="I1806" s="189"/>
      <c r="J1806" s="190"/>
      <c r="K1806" s="190"/>
      <c r="L1806" s="190"/>
      <c r="M1806" s="191"/>
      <c r="N1806" s="172"/>
      <c r="O1806" s="172"/>
      <c r="P1806" s="172"/>
      <c r="Q1806" s="172"/>
    </row>
    <row r="1807" spans="6:17" s="170" customFormat="1" x14ac:dyDescent="0.2">
      <c r="F1807" s="187"/>
      <c r="G1807" s="187"/>
      <c r="H1807" s="188"/>
      <c r="I1807" s="189"/>
      <c r="J1807" s="190"/>
      <c r="K1807" s="190"/>
      <c r="L1807" s="190"/>
      <c r="M1807" s="191"/>
      <c r="N1807" s="172"/>
      <c r="O1807" s="172"/>
      <c r="P1807" s="172"/>
      <c r="Q1807" s="172"/>
    </row>
    <row r="1808" spans="6:17" s="170" customFormat="1" x14ac:dyDescent="0.2">
      <c r="F1808" s="187"/>
      <c r="G1808" s="187"/>
      <c r="H1808" s="188"/>
      <c r="I1808" s="189"/>
      <c r="J1808" s="190"/>
      <c r="K1808" s="190"/>
      <c r="L1808" s="190"/>
      <c r="M1808" s="191"/>
      <c r="N1808" s="172"/>
      <c r="O1808" s="172"/>
      <c r="P1808" s="172"/>
      <c r="Q1808" s="172"/>
    </row>
    <row r="1809" spans="6:17" s="170" customFormat="1" x14ac:dyDescent="0.2">
      <c r="F1809" s="187"/>
      <c r="G1809" s="187"/>
      <c r="H1809" s="188"/>
      <c r="I1809" s="189"/>
      <c r="J1809" s="190"/>
      <c r="K1809" s="190"/>
      <c r="L1809" s="190"/>
      <c r="M1809" s="191"/>
      <c r="N1809" s="172"/>
      <c r="O1809" s="172"/>
      <c r="P1809" s="172"/>
      <c r="Q1809" s="172"/>
    </row>
    <row r="1810" spans="6:17" s="170" customFormat="1" x14ac:dyDescent="0.2">
      <c r="F1810" s="187"/>
      <c r="G1810" s="187"/>
      <c r="H1810" s="188"/>
      <c r="I1810" s="189"/>
      <c r="J1810" s="190"/>
      <c r="K1810" s="190"/>
      <c r="L1810" s="190"/>
      <c r="M1810" s="191"/>
      <c r="N1810" s="172"/>
      <c r="O1810" s="172"/>
      <c r="P1810" s="172"/>
      <c r="Q1810" s="172"/>
    </row>
    <row r="1811" spans="6:17" s="170" customFormat="1" x14ac:dyDescent="0.2">
      <c r="F1811" s="187"/>
      <c r="G1811" s="187"/>
      <c r="H1811" s="188"/>
      <c r="I1811" s="189"/>
      <c r="J1811" s="190"/>
      <c r="K1811" s="190"/>
      <c r="L1811" s="190"/>
      <c r="M1811" s="191"/>
      <c r="N1811" s="172"/>
      <c r="O1811" s="172"/>
      <c r="P1811" s="172"/>
      <c r="Q1811" s="172"/>
    </row>
    <row r="1812" spans="6:17" s="170" customFormat="1" x14ac:dyDescent="0.2">
      <c r="F1812" s="187"/>
      <c r="G1812" s="187"/>
      <c r="H1812" s="188"/>
      <c r="I1812" s="189"/>
      <c r="J1812" s="190"/>
      <c r="K1812" s="190"/>
      <c r="L1812" s="190"/>
      <c r="M1812" s="191"/>
      <c r="N1812" s="172"/>
      <c r="O1812" s="172"/>
      <c r="P1812" s="172"/>
      <c r="Q1812" s="172"/>
    </row>
    <row r="1813" spans="6:17" s="170" customFormat="1" x14ac:dyDescent="0.2">
      <c r="F1813" s="187"/>
      <c r="G1813" s="187"/>
      <c r="H1813" s="188"/>
      <c r="I1813" s="189"/>
      <c r="J1813" s="190"/>
      <c r="K1813" s="190"/>
      <c r="L1813" s="190"/>
      <c r="M1813" s="191"/>
      <c r="N1813" s="172"/>
      <c r="O1813" s="172"/>
      <c r="P1813" s="172"/>
      <c r="Q1813" s="172"/>
    </row>
    <row r="1814" spans="6:17" s="170" customFormat="1" x14ac:dyDescent="0.2">
      <c r="F1814" s="187"/>
      <c r="G1814" s="187"/>
      <c r="H1814" s="188"/>
      <c r="I1814" s="189"/>
      <c r="J1814" s="190"/>
      <c r="K1814" s="190"/>
      <c r="L1814" s="190"/>
      <c r="M1814" s="191"/>
      <c r="N1814" s="172"/>
      <c r="O1814" s="172"/>
      <c r="P1814" s="172"/>
      <c r="Q1814" s="172"/>
    </row>
    <row r="1815" spans="6:17" s="170" customFormat="1" x14ac:dyDescent="0.2">
      <c r="F1815" s="187"/>
      <c r="G1815" s="187"/>
      <c r="H1815" s="188"/>
      <c r="I1815" s="189"/>
      <c r="J1815" s="190"/>
      <c r="K1815" s="190"/>
      <c r="L1815" s="190"/>
      <c r="M1815" s="191"/>
      <c r="N1815" s="172"/>
      <c r="O1815" s="172"/>
      <c r="P1815" s="172"/>
      <c r="Q1815" s="172"/>
    </row>
    <row r="1816" spans="6:17" s="170" customFormat="1" x14ac:dyDescent="0.2">
      <c r="F1816" s="187"/>
      <c r="G1816" s="187"/>
      <c r="H1816" s="188"/>
      <c r="I1816" s="189"/>
      <c r="J1816" s="190"/>
      <c r="K1816" s="190"/>
      <c r="L1816" s="190"/>
      <c r="M1816" s="191"/>
      <c r="N1816" s="172"/>
      <c r="O1816" s="172"/>
      <c r="P1816" s="172"/>
      <c r="Q1816" s="172"/>
    </row>
    <row r="1817" spans="6:17" s="170" customFormat="1" x14ac:dyDescent="0.2">
      <c r="F1817" s="187"/>
      <c r="G1817" s="187"/>
      <c r="H1817" s="188"/>
      <c r="I1817" s="189"/>
      <c r="J1817" s="190"/>
      <c r="K1817" s="190"/>
      <c r="L1817" s="190"/>
      <c r="M1817" s="191"/>
      <c r="N1817" s="172"/>
      <c r="O1817" s="172"/>
      <c r="P1817" s="172"/>
      <c r="Q1817" s="172"/>
    </row>
    <row r="1818" spans="6:17" s="170" customFormat="1" x14ac:dyDescent="0.2">
      <c r="F1818" s="187"/>
      <c r="G1818" s="187"/>
      <c r="H1818" s="188"/>
      <c r="I1818" s="189"/>
      <c r="J1818" s="190"/>
      <c r="K1818" s="190"/>
      <c r="L1818" s="190"/>
      <c r="M1818" s="191"/>
      <c r="N1818" s="172"/>
      <c r="O1818" s="172"/>
      <c r="P1818" s="172"/>
      <c r="Q1818" s="172"/>
    </row>
    <row r="1819" spans="6:17" s="170" customFormat="1" x14ac:dyDescent="0.2">
      <c r="F1819" s="187"/>
      <c r="G1819" s="187"/>
      <c r="H1819" s="188"/>
      <c r="I1819" s="189"/>
      <c r="J1819" s="190"/>
      <c r="K1819" s="190"/>
      <c r="L1819" s="190"/>
      <c r="M1819" s="191"/>
      <c r="N1819" s="172"/>
      <c r="O1819" s="172"/>
      <c r="P1819" s="172"/>
      <c r="Q1819" s="172"/>
    </row>
    <row r="1820" spans="6:17" s="170" customFormat="1" x14ac:dyDescent="0.2">
      <c r="F1820" s="187"/>
      <c r="G1820" s="187"/>
      <c r="H1820" s="188"/>
      <c r="I1820" s="189"/>
      <c r="J1820" s="190"/>
      <c r="K1820" s="190"/>
      <c r="L1820" s="190"/>
      <c r="M1820" s="191"/>
      <c r="N1820" s="172"/>
      <c r="O1820" s="172"/>
      <c r="P1820" s="172"/>
      <c r="Q1820" s="172"/>
    </row>
    <row r="1821" spans="6:17" s="170" customFormat="1" x14ac:dyDescent="0.2">
      <c r="F1821" s="187"/>
      <c r="G1821" s="187"/>
      <c r="H1821" s="188"/>
      <c r="I1821" s="189"/>
      <c r="J1821" s="190"/>
      <c r="K1821" s="190"/>
      <c r="L1821" s="190"/>
      <c r="M1821" s="191"/>
      <c r="N1821" s="172"/>
      <c r="O1821" s="172"/>
      <c r="P1821" s="172"/>
      <c r="Q1821" s="172"/>
    </row>
    <row r="1822" spans="6:17" s="170" customFormat="1" x14ac:dyDescent="0.2">
      <c r="F1822" s="187"/>
      <c r="G1822" s="187"/>
      <c r="H1822" s="188"/>
      <c r="I1822" s="189"/>
      <c r="J1822" s="190"/>
      <c r="K1822" s="190"/>
      <c r="L1822" s="190"/>
      <c r="M1822" s="191"/>
      <c r="N1822" s="172"/>
      <c r="O1822" s="172"/>
      <c r="P1822" s="172"/>
      <c r="Q1822" s="172"/>
    </row>
    <row r="1823" spans="6:17" s="170" customFormat="1" x14ac:dyDescent="0.2">
      <c r="F1823" s="187"/>
      <c r="G1823" s="187"/>
      <c r="H1823" s="188"/>
      <c r="I1823" s="189"/>
      <c r="J1823" s="190"/>
      <c r="K1823" s="190"/>
      <c r="L1823" s="190"/>
      <c r="M1823" s="191"/>
      <c r="N1823" s="172"/>
      <c r="O1823" s="172"/>
      <c r="P1823" s="172"/>
      <c r="Q1823" s="172"/>
    </row>
    <row r="1824" spans="6:17" s="170" customFormat="1" x14ac:dyDescent="0.2">
      <c r="F1824" s="187"/>
      <c r="G1824" s="187"/>
      <c r="H1824" s="188"/>
      <c r="I1824" s="189"/>
      <c r="J1824" s="190"/>
      <c r="K1824" s="190"/>
      <c r="L1824" s="190"/>
      <c r="M1824" s="191"/>
      <c r="N1824" s="172"/>
      <c r="O1824" s="172"/>
      <c r="P1824" s="172"/>
      <c r="Q1824" s="172"/>
    </row>
    <row r="1825" spans="6:17" s="170" customFormat="1" x14ac:dyDescent="0.2">
      <c r="F1825" s="187"/>
      <c r="G1825" s="187"/>
      <c r="H1825" s="188"/>
      <c r="I1825" s="189"/>
      <c r="J1825" s="190"/>
      <c r="K1825" s="190"/>
      <c r="L1825" s="190"/>
      <c r="M1825" s="191"/>
      <c r="N1825" s="172"/>
      <c r="O1825" s="172"/>
      <c r="P1825" s="172"/>
      <c r="Q1825" s="172"/>
    </row>
    <row r="1826" spans="6:17" s="170" customFormat="1" x14ac:dyDescent="0.2">
      <c r="F1826" s="187"/>
      <c r="G1826" s="187"/>
      <c r="H1826" s="188"/>
      <c r="I1826" s="189"/>
      <c r="J1826" s="190"/>
      <c r="K1826" s="190"/>
      <c r="L1826" s="190"/>
      <c r="M1826" s="191"/>
      <c r="N1826" s="172"/>
      <c r="O1826" s="172"/>
      <c r="P1826" s="172"/>
      <c r="Q1826" s="172"/>
    </row>
    <row r="1827" spans="6:17" s="170" customFormat="1" x14ac:dyDescent="0.2">
      <c r="F1827" s="187"/>
      <c r="G1827" s="187"/>
      <c r="H1827" s="188"/>
      <c r="I1827" s="189"/>
      <c r="J1827" s="190"/>
      <c r="K1827" s="190"/>
      <c r="L1827" s="190"/>
      <c r="M1827" s="191"/>
      <c r="N1827" s="172"/>
      <c r="O1827" s="172"/>
      <c r="P1827" s="172"/>
      <c r="Q1827" s="172"/>
    </row>
    <row r="1828" spans="6:17" s="170" customFormat="1" x14ac:dyDescent="0.2">
      <c r="F1828" s="187"/>
      <c r="G1828" s="187"/>
      <c r="H1828" s="188"/>
      <c r="I1828" s="189"/>
      <c r="J1828" s="190"/>
      <c r="K1828" s="190"/>
      <c r="L1828" s="190"/>
      <c r="M1828" s="191"/>
      <c r="N1828" s="172"/>
      <c r="O1828" s="172"/>
      <c r="P1828" s="172"/>
      <c r="Q1828" s="172"/>
    </row>
    <row r="1829" spans="6:17" s="170" customFormat="1" x14ac:dyDescent="0.2">
      <c r="F1829" s="187"/>
      <c r="G1829" s="187"/>
      <c r="H1829" s="188"/>
      <c r="I1829" s="189"/>
      <c r="J1829" s="190"/>
      <c r="K1829" s="190"/>
      <c r="L1829" s="190"/>
      <c r="M1829" s="191"/>
      <c r="N1829" s="172"/>
      <c r="O1829" s="172"/>
      <c r="P1829" s="172"/>
      <c r="Q1829" s="172"/>
    </row>
    <row r="1830" spans="6:17" s="170" customFormat="1" x14ac:dyDescent="0.2">
      <c r="F1830" s="187"/>
      <c r="G1830" s="187"/>
      <c r="H1830" s="188"/>
      <c r="I1830" s="189"/>
      <c r="J1830" s="190"/>
      <c r="K1830" s="190"/>
      <c r="L1830" s="190"/>
      <c r="M1830" s="191"/>
      <c r="N1830" s="172"/>
      <c r="O1830" s="172"/>
      <c r="P1830" s="172"/>
      <c r="Q1830" s="172"/>
    </row>
    <row r="1831" spans="6:17" s="170" customFormat="1" x14ac:dyDescent="0.2">
      <c r="F1831" s="187"/>
      <c r="G1831" s="187"/>
      <c r="H1831" s="188"/>
      <c r="I1831" s="189"/>
      <c r="J1831" s="190"/>
      <c r="K1831" s="190"/>
      <c r="L1831" s="190"/>
      <c r="M1831" s="191"/>
      <c r="N1831" s="172"/>
      <c r="O1831" s="172"/>
      <c r="P1831" s="172"/>
      <c r="Q1831" s="172"/>
    </row>
    <row r="1832" spans="6:17" s="170" customFormat="1" x14ac:dyDescent="0.2">
      <c r="F1832" s="187"/>
      <c r="G1832" s="187"/>
      <c r="H1832" s="188"/>
      <c r="I1832" s="189"/>
      <c r="J1832" s="190"/>
      <c r="K1832" s="190"/>
      <c r="L1832" s="190"/>
      <c r="M1832" s="191"/>
      <c r="N1832" s="172"/>
      <c r="O1832" s="172"/>
      <c r="P1832" s="172"/>
      <c r="Q1832" s="172"/>
    </row>
    <row r="1833" spans="6:17" s="170" customFormat="1" x14ac:dyDescent="0.2">
      <c r="F1833" s="187"/>
      <c r="G1833" s="187"/>
      <c r="H1833" s="188"/>
      <c r="I1833" s="189"/>
      <c r="J1833" s="190"/>
      <c r="K1833" s="190"/>
      <c r="L1833" s="190"/>
      <c r="M1833" s="191"/>
      <c r="N1833" s="172"/>
      <c r="O1833" s="172"/>
      <c r="P1833" s="172"/>
      <c r="Q1833" s="172"/>
    </row>
    <row r="1834" spans="6:17" s="170" customFormat="1" x14ac:dyDescent="0.2">
      <c r="F1834" s="187"/>
      <c r="G1834" s="187"/>
      <c r="H1834" s="188"/>
      <c r="I1834" s="189"/>
      <c r="J1834" s="190"/>
      <c r="K1834" s="190"/>
      <c r="L1834" s="190"/>
      <c r="M1834" s="191"/>
      <c r="N1834" s="172"/>
      <c r="O1834" s="172"/>
      <c r="P1834" s="172"/>
      <c r="Q1834" s="172"/>
    </row>
    <row r="1835" spans="6:17" s="170" customFormat="1" x14ac:dyDescent="0.2">
      <c r="F1835" s="187"/>
      <c r="G1835" s="187"/>
      <c r="H1835" s="188"/>
      <c r="I1835" s="189"/>
      <c r="J1835" s="190"/>
      <c r="K1835" s="190"/>
      <c r="L1835" s="190"/>
      <c r="M1835" s="191"/>
      <c r="N1835" s="172"/>
      <c r="O1835" s="172"/>
      <c r="P1835" s="172"/>
      <c r="Q1835" s="172"/>
    </row>
    <row r="1836" spans="6:17" s="170" customFormat="1" x14ac:dyDescent="0.2">
      <c r="F1836" s="187"/>
      <c r="G1836" s="187"/>
      <c r="H1836" s="188"/>
      <c r="I1836" s="189"/>
      <c r="J1836" s="190"/>
      <c r="K1836" s="190"/>
      <c r="L1836" s="190"/>
      <c r="M1836" s="191"/>
      <c r="N1836" s="172"/>
      <c r="O1836" s="172"/>
      <c r="P1836" s="172"/>
      <c r="Q1836" s="172"/>
    </row>
    <row r="1837" spans="6:17" s="170" customFormat="1" x14ac:dyDescent="0.2">
      <c r="F1837" s="187"/>
      <c r="G1837" s="187"/>
      <c r="H1837" s="188"/>
      <c r="I1837" s="189"/>
      <c r="J1837" s="190"/>
      <c r="K1837" s="190"/>
      <c r="L1837" s="190"/>
      <c r="M1837" s="191"/>
      <c r="N1837" s="172"/>
      <c r="O1837" s="172"/>
      <c r="P1837" s="172"/>
      <c r="Q1837" s="172"/>
    </row>
    <row r="1838" spans="6:17" s="170" customFormat="1" x14ac:dyDescent="0.2">
      <c r="F1838" s="187"/>
      <c r="G1838" s="187"/>
      <c r="H1838" s="188"/>
      <c r="I1838" s="189"/>
      <c r="J1838" s="190"/>
      <c r="K1838" s="190"/>
      <c r="L1838" s="190"/>
      <c r="M1838" s="191"/>
      <c r="N1838" s="172"/>
      <c r="O1838" s="172"/>
      <c r="P1838" s="172"/>
      <c r="Q1838" s="172"/>
    </row>
    <row r="1839" spans="6:17" s="170" customFormat="1" x14ac:dyDescent="0.2">
      <c r="F1839" s="187"/>
      <c r="G1839" s="187"/>
      <c r="H1839" s="188"/>
      <c r="I1839" s="189"/>
      <c r="J1839" s="190"/>
      <c r="K1839" s="190"/>
      <c r="L1839" s="190"/>
      <c r="M1839" s="191"/>
      <c r="N1839" s="172"/>
      <c r="O1839" s="172"/>
      <c r="P1839" s="172"/>
      <c r="Q1839" s="172"/>
    </row>
    <row r="1840" spans="6:17" s="170" customFormat="1" x14ac:dyDescent="0.2">
      <c r="F1840" s="187"/>
      <c r="G1840" s="187"/>
      <c r="H1840" s="188"/>
      <c r="I1840" s="189"/>
      <c r="J1840" s="190"/>
      <c r="K1840" s="190"/>
      <c r="L1840" s="190"/>
      <c r="M1840" s="191"/>
      <c r="N1840" s="172"/>
      <c r="O1840" s="172"/>
      <c r="P1840" s="172"/>
      <c r="Q1840" s="172"/>
    </row>
    <row r="1841" spans="6:17" s="170" customFormat="1" x14ac:dyDescent="0.2">
      <c r="F1841" s="187"/>
      <c r="G1841" s="187"/>
      <c r="H1841" s="188"/>
      <c r="I1841" s="189"/>
      <c r="J1841" s="190"/>
      <c r="K1841" s="190"/>
      <c r="L1841" s="190"/>
      <c r="M1841" s="191"/>
      <c r="N1841" s="172"/>
      <c r="O1841" s="172"/>
      <c r="P1841" s="172"/>
      <c r="Q1841" s="172"/>
    </row>
    <row r="1842" spans="6:17" s="170" customFormat="1" x14ac:dyDescent="0.2">
      <c r="F1842" s="187"/>
      <c r="G1842" s="187"/>
      <c r="H1842" s="188"/>
      <c r="I1842" s="189"/>
      <c r="J1842" s="190"/>
      <c r="K1842" s="190"/>
      <c r="L1842" s="190"/>
      <c r="M1842" s="191"/>
      <c r="N1842" s="172"/>
      <c r="O1842" s="172"/>
      <c r="P1842" s="172"/>
      <c r="Q1842" s="172"/>
    </row>
    <row r="1843" spans="6:17" s="170" customFormat="1" x14ac:dyDescent="0.2">
      <c r="F1843" s="187"/>
      <c r="G1843" s="187"/>
      <c r="H1843" s="188"/>
      <c r="I1843" s="189"/>
      <c r="J1843" s="190"/>
      <c r="K1843" s="190"/>
      <c r="L1843" s="190"/>
      <c r="M1843" s="191"/>
      <c r="N1843" s="172"/>
      <c r="O1843" s="172"/>
      <c r="P1843" s="172"/>
      <c r="Q1843" s="172"/>
    </row>
    <row r="1844" spans="6:17" s="170" customFormat="1" x14ac:dyDescent="0.2">
      <c r="F1844" s="187"/>
      <c r="G1844" s="187"/>
      <c r="H1844" s="188"/>
      <c r="I1844" s="189"/>
      <c r="J1844" s="190"/>
      <c r="K1844" s="190"/>
      <c r="L1844" s="190"/>
      <c r="M1844" s="191"/>
      <c r="N1844" s="172"/>
      <c r="O1844" s="172"/>
      <c r="P1844" s="172"/>
      <c r="Q1844" s="172"/>
    </row>
    <row r="1845" spans="6:17" s="170" customFormat="1" x14ac:dyDescent="0.2">
      <c r="F1845" s="187"/>
      <c r="G1845" s="187"/>
      <c r="H1845" s="188"/>
      <c r="I1845" s="189"/>
      <c r="J1845" s="190"/>
      <c r="K1845" s="190"/>
      <c r="L1845" s="190"/>
      <c r="M1845" s="191"/>
      <c r="N1845" s="172"/>
      <c r="O1845" s="172"/>
      <c r="P1845" s="172"/>
      <c r="Q1845" s="172"/>
    </row>
    <row r="1846" spans="6:17" s="170" customFormat="1" x14ac:dyDescent="0.2">
      <c r="F1846" s="187"/>
      <c r="G1846" s="187"/>
      <c r="H1846" s="188"/>
      <c r="I1846" s="189"/>
      <c r="J1846" s="190"/>
      <c r="K1846" s="190"/>
      <c r="L1846" s="190"/>
      <c r="M1846" s="191"/>
      <c r="N1846" s="172"/>
      <c r="O1846" s="172"/>
      <c r="P1846" s="172"/>
      <c r="Q1846" s="172"/>
    </row>
    <row r="1847" spans="6:17" s="170" customFormat="1" x14ac:dyDescent="0.2">
      <c r="F1847" s="187"/>
      <c r="G1847" s="187"/>
      <c r="H1847" s="188"/>
      <c r="I1847" s="189"/>
      <c r="J1847" s="190"/>
      <c r="K1847" s="190"/>
      <c r="L1847" s="190"/>
      <c r="M1847" s="191"/>
      <c r="N1847" s="172"/>
      <c r="O1847" s="172"/>
      <c r="P1847" s="172"/>
      <c r="Q1847" s="172"/>
    </row>
    <row r="1848" spans="6:17" s="170" customFormat="1" x14ac:dyDescent="0.2">
      <c r="F1848" s="187"/>
      <c r="G1848" s="187"/>
      <c r="H1848" s="188"/>
      <c r="I1848" s="189"/>
      <c r="J1848" s="190"/>
      <c r="K1848" s="190"/>
      <c r="L1848" s="190"/>
      <c r="M1848" s="191"/>
      <c r="N1848" s="172"/>
      <c r="O1848" s="172"/>
      <c r="P1848" s="172"/>
      <c r="Q1848" s="172"/>
    </row>
    <row r="1849" spans="6:17" s="170" customFormat="1" x14ac:dyDescent="0.2">
      <c r="F1849" s="187"/>
      <c r="G1849" s="187"/>
      <c r="H1849" s="188"/>
      <c r="I1849" s="189"/>
      <c r="J1849" s="190"/>
      <c r="K1849" s="190"/>
      <c r="L1849" s="190"/>
      <c r="M1849" s="191"/>
      <c r="N1849" s="172"/>
      <c r="O1849" s="172"/>
      <c r="P1849" s="172"/>
      <c r="Q1849" s="172"/>
    </row>
    <row r="1850" spans="6:17" s="170" customFormat="1" x14ac:dyDescent="0.2">
      <c r="F1850" s="187"/>
      <c r="G1850" s="187"/>
      <c r="H1850" s="188"/>
      <c r="I1850" s="189"/>
      <c r="J1850" s="190"/>
      <c r="K1850" s="190"/>
      <c r="L1850" s="190"/>
      <c r="M1850" s="191"/>
      <c r="N1850" s="172"/>
      <c r="O1850" s="172"/>
      <c r="P1850" s="172"/>
      <c r="Q1850" s="172"/>
    </row>
    <row r="1851" spans="6:17" s="170" customFormat="1" x14ac:dyDescent="0.2">
      <c r="F1851" s="187"/>
      <c r="G1851" s="187"/>
      <c r="H1851" s="188"/>
      <c r="I1851" s="189"/>
      <c r="J1851" s="190"/>
      <c r="K1851" s="190"/>
      <c r="L1851" s="190"/>
      <c r="M1851" s="191"/>
      <c r="N1851" s="172"/>
      <c r="O1851" s="172"/>
      <c r="P1851" s="172"/>
      <c r="Q1851" s="172"/>
    </row>
    <row r="1852" spans="6:17" s="170" customFormat="1" x14ac:dyDescent="0.2">
      <c r="F1852" s="187"/>
      <c r="G1852" s="187"/>
      <c r="H1852" s="188"/>
      <c r="I1852" s="189"/>
      <c r="J1852" s="190"/>
      <c r="K1852" s="190"/>
      <c r="L1852" s="190"/>
      <c r="M1852" s="191"/>
      <c r="N1852" s="172"/>
      <c r="O1852" s="172"/>
      <c r="P1852" s="172"/>
      <c r="Q1852" s="172"/>
    </row>
    <row r="1853" spans="6:17" s="170" customFormat="1" x14ac:dyDescent="0.2">
      <c r="F1853" s="187"/>
      <c r="G1853" s="187"/>
      <c r="H1853" s="188"/>
      <c r="I1853" s="189"/>
      <c r="J1853" s="190"/>
      <c r="K1853" s="190"/>
      <c r="L1853" s="190"/>
      <c r="M1853" s="191"/>
      <c r="N1853" s="172"/>
      <c r="O1853" s="172"/>
      <c r="P1853" s="172"/>
      <c r="Q1853" s="172"/>
    </row>
    <row r="1854" spans="6:17" s="170" customFormat="1" x14ac:dyDescent="0.2">
      <c r="F1854" s="187"/>
      <c r="G1854" s="187"/>
      <c r="H1854" s="188"/>
      <c r="I1854" s="189"/>
      <c r="J1854" s="190"/>
      <c r="K1854" s="190"/>
      <c r="L1854" s="190"/>
      <c r="M1854" s="191"/>
      <c r="N1854" s="172"/>
      <c r="O1854" s="172"/>
      <c r="P1854" s="172"/>
      <c r="Q1854" s="172"/>
    </row>
    <row r="1855" spans="6:17" s="170" customFormat="1" x14ac:dyDescent="0.2">
      <c r="F1855" s="187"/>
      <c r="G1855" s="187"/>
      <c r="H1855" s="188"/>
      <c r="I1855" s="189"/>
      <c r="J1855" s="190"/>
      <c r="K1855" s="190"/>
      <c r="L1855" s="190"/>
      <c r="M1855" s="191"/>
      <c r="N1855" s="172"/>
      <c r="O1855" s="172"/>
      <c r="P1855" s="172"/>
      <c r="Q1855" s="172"/>
    </row>
    <row r="1856" spans="6:17" s="170" customFormat="1" x14ac:dyDescent="0.2">
      <c r="F1856" s="187"/>
      <c r="G1856" s="187"/>
      <c r="H1856" s="188"/>
      <c r="I1856" s="189"/>
      <c r="J1856" s="190"/>
      <c r="K1856" s="190"/>
      <c r="L1856" s="190"/>
      <c r="M1856" s="191"/>
      <c r="N1856" s="172"/>
      <c r="O1856" s="172"/>
      <c r="P1856" s="172"/>
      <c r="Q1856" s="172"/>
    </row>
    <row r="1857" spans="6:17" s="170" customFormat="1" x14ac:dyDescent="0.2">
      <c r="F1857" s="187"/>
      <c r="G1857" s="187"/>
      <c r="H1857" s="188"/>
      <c r="I1857" s="189"/>
      <c r="J1857" s="190"/>
      <c r="K1857" s="190"/>
      <c r="L1857" s="190"/>
      <c r="M1857" s="191"/>
      <c r="N1857" s="172"/>
      <c r="O1857" s="172"/>
      <c r="P1857" s="172"/>
      <c r="Q1857" s="172"/>
    </row>
    <row r="1858" spans="6:17" s="170" customFormat="1" x14ac:dyDescent="0.2">
      <c r="F1858" s="187"/>
      <c r="G1858" s="187"/>
      <c r="H1858" s="188"/>
      <c r="I1858" s="189"/>
      <c r="J1858" s="190"/>
      <c r="K1858" s="190"/>
      <c r="L1858" s="190"/>
      <c r="M1858" s="191"/>
      <c r="N1858" s="172"/>
      <c r="O1858" s="172"/>
      <c r="P1858" s="172"/>
      <c r="Q1858" s="172"/>
    </row>
    <row r="1859" spans="6:17" s="170" customFormat="1" x14ac:dyDescent="0.2">
      <c r="F1859" s="187"/>
      <c r="G1859" s="187"/>
      <c r="H1859" s="188"/>
      <c r="I1859" s="189"/>
      <c r="J1859" s="190"/>
      <c r="K1859" s="190"/>
      <c r="L1859" s="190"/>
      <c r="M1859" s="191"/>
      <c r="N1859" s="172"/>
      <c r="O1859" s="172"/>
      <c r="P1859" s="172"/>
      <c r="Q1859" s="172"/>
    </row>
    <row r="1860" spans="6:17" s="170" customFormat="1" x14ac:dyDescent="0.2">
      <c r="F1860" s="187"/>
      <c r="G1860" s="187"/>
      <c r="H1860" s="188"/>
      <c r="I1860" s="189"/>
      <c r="J1860" s="190"/>
      <c r="K1860" s="190"/>
      <c r="L1860" s="190"/>
      <c r="M1860" s="191"/>
      <c r="N1860" s="172"/>
      <c r="O1860" s="172"/>
      <c r="P1860" s="172"/>
      <c r="Q1860" s="172"/>
    </row>
    <row r="1861" spans="6:17" s="170" customFormat="1" x14ac:dyDescent="0.2">
      <c r="F1861" s="187"/>
      <c r="G1861" s="187"/>
      <c r="H1861" s="188"/>
      <c r="I1861" s="189"/>
      <c r="J1861" s="190"/>
      <c r="K1861" s="190"/>
      <c r="L1861" s="190"/>
      <c r="M1861" s="191"/>
      <c r="N1861" s="172"/>
      <c r="O1861" s="172"/>
      <c r="P1861" s="172"/>
      <c r="Q1861" s="172"/>
    </row>
    <row r="1862" spans="6:17" s="170" customFormat="1" x14ac:dyDescent="0.2">
      <c r="F1862" s="187"/>
      <c r="G1862" s="187"/>
      <c r="H1862" s="188"/>
      <c r="I1862" s="189"/>
      <c r="J1862" s="190"/>
      <c r="K1862" s="190"/>
      <c r="L1862" s="190"/>
      <c r="M1862" s="191"/>
      <c r="N1862" s="172"/>
      <c r="O1862" s="172"/>
      <c r="P1862" s="172"/>
      <c r="Q1862" s="172"/>
    </row>
    <row r="1863" spans="6:17" s="170" customFormat="1" x14ac:dyDescent="0.2">
      <c r="F1863" s="187"/>
      <c r="G1863" s="187"/>
      <c r="H1863" s="188"/>
      <c r="I1863" s="189"/>
      <c r="J1863" s="190"/>
      <c r="K1863" s="190"/>
      <c r="L1863" s="190"/>
      <c r="M1863" s="191"/>
      <c r="N1863" s="172"/>
      <c r="O1863" s="172"/>
      <c r="P1863" s="172"/>
      <c r="Q1863" s="172"/>
    </row>
    <row r="1864" spans="6:17" s="170" customFormat="1" x14ac:dyDescent="0.2">
      <c r="F1864" s="187"/>
      <c r="G1864" s="187"/>
      <c r="H1864" s="188"/>
      <c r="I1864" s="189"/>
      <c r="J1864" s="190"/>
      <c r="K1864" s="190"/>
      <c r="L1864" s="190"/>
      <c r="M1864" s="191"/>
      <c r="N1864" s="172"/>
      <c r="O1864" s="172"/>
      <c r="P1864" s="172"/>
      <c r="Q1864" s="172"/>
    </row>
    <row r="1865" spans="6:17" s="170" customFormat="1" x14ac:dyDescent="0.2">
      <c r="F1865" s="187"/>
      <c r="G1865" s="187"/>
      <c r="H1865" s="188"/>
      <c r="I1865" s="189"/>
      <c r="J1865" s="190"/>
      <c r="K1865" s="190"/>
      <c r="L1865" s="190"/>
      <c r="M1865" s="191"/>
      <c r="N1865" s="172"/>
      <c r="O1865" s="172"/>
      <c r="P1865" s="172"/>
      <c r="Q1865" s="172"/>
    </row>
    <row r="1866" spans="6:17" s="170" customFormat="1" x14ac:dyDescent="0.2">
      <c r="F1866" s="187"/>
      <c r="G1866" s="187"/>
      <c r="H1866" s="188"/>
      <c r="I1866" s="189"/>
      <c r="J1866" s="190"/>
      <c r="K1866" s="190"/>
      <c r="L1866" s="190"/>
      <c r="M1866" s="191"/>
      <c r="N1866" s="172"/>
      <c r="O1866" s="172"/>
      <c r="P1866" s="172"/>
      <c r="Q1866" s="172"/>
    </row>
    <row r="1867" spans="6:17" s="170" customFormat="1" x14ac:dyDescent="0.2">
      <c r="F1867" s="187"/>
      <c r="G1867" s="187"/>
      <c r="H1867" s="188"/>
      <c r="I1867" s="189"/>
      <c r="J1867" s="190"/>
      <c r="K1867" s="190"/>
      <c r="L1867" s="190"/>
      <c r="M1867" s="191"/>
      <c r="N1867" s="172"/>
      <c r="O1867" s="172"/>
      <c r="P1867" s="172"/>
      <c r="Q1867" s="172"/>
    </row>
    <row r="1868" spans="6:17" s="170" customFormat="1" x14ac:dyDescent="0.2">
      <c r="F1868" s="187"/>
      <c r="G1868" s="187"/>
      <c r="H1868" s="188"/>
      <c r="I1868" s="189"/>
      <c r="J1868" s="190"/>
      <c r="K1868" s="190"/>
      <c r="L1868" s="190"/>
      <c r="M1868" s="191"/>
      <c r="N1868" s="172"/>
      <c r="O1868" s="172"/>
      <c r="P1868" s="172"/>
      <c r="Q1868" s="172"/>
    </row>
    <row r="1869" spans="6:17" s="170" customFormat="1" x14ac:dyDescent="0.2">
      <c r="F1869" s="187"/>
      <c r="G1869" s="187"/>
      <c r="H1869" s="188"/>
      <c r="I1869" s="189"/>
      <c r="J1869" s="190"/>
      <c r="K1869" s="190"/>
      <c r="L1869" s="190"/>
      <c r="M1869" s="191"/>
      <c r="N1869" s="172"/>
      <c r="O1869" s="172"/>
      <c r="P1869" s="172"/>
      <c r="Q1869" s="172"/>
    </row>
    <row r="1870" spans="6:17" s="170" customFormat="1" x14ac:dyDescent="0.2">
      <c r="F1870" s="187"/>
      <c r="G1870" s="187"/>
      <c r="H1870" s="188"/>
      <c r="I1870" s="189"/>
      <c r="J1870" s="190"/>
      <c r="K1870" s="190"/>
      <c r="L1870" s="190"/>
      <c r="M1870" s="191"/>
      <c r="N1870" s="172"/>
      <c r="O1870" s="172"/>
      <c r="P1870" s="172"/>
      <c r="Q1870" s="172"/>
    </row>
    <row r="1871" spans="6:17" s="170" customFormat="1" x14ac:dyDescent="0.2">
      <c r="F1871" s="187"/>
      <c r="G1871" s="187"/>
      <c r="H1871" s="188"/>
      <c r="I1871" s="189"/>
      <c r="J1871" s="190"/>
      <c r="K1871" s="190"/>
      <c r="L1871" s="190"/>
      <c r="M1871" s="191"/>
      <c r="N1871" s="172"/>
      <c r="O1871" s="172"/>
      <c r="P1871" s="172"/>
      <c r="Q1871" s="172"/>
    </row>
    <row r="1872" spans="6:17" s="170" customFormat="1" x14ac:dyDescent="0.2">
      <c r="F1872" s="187"/>
      <c r="G1872" s="187"/>
      <c r="H1872" s="188"/>
      <c r="I1872" s="189"/>
      <c r="J1872" s="190"/>
      <c r="K1872" s="190"/>
      <c r="L1872" s="190"/>
      <c r="M1872" s="191"/>
      <c r="N1872" s="172"/>
      <c r="O1872" s="172"/>
      <c r="P1872" s="172"/>
      <c r="Q1872" s="172"/>
    </row>
    <row r="1873" spans="6:17" s="170" customFormat="1" x14ac:dyDescent="0.2">
      <c r="F1873" s="187"/>
      <c r="G1873" s="187"/>
      <c r="H1873" s="188"/>
      <c r="I1873" s="189"/>
      <c r="J1873" s="190"/>
      <c r="K1873" s="190"/>
      <c r="L1873" s="190"/>
      <c r="M1873" s="191"/>
      <c r="N1873" s="172"/>
      <c r="O1873" s="172"/>
      <c r="P1873" s="172"/>
      <c r="Q1873" s="172"/>
    </row>
    <row r="1874" spans="6:17" s="170" customFormat="1" x14ac:dyDescent="0.2">
      <c r="F1874" s="187"/>
      <c r="G1874" s="187"/>
      <c r="H1874" s="188"/>
      <c r="I1874" s="189"/>
      <c r="J1874" s="190"/>
      <c r="K1874" s="190"/>
      <c r="L1874" s="190"/>
      <c r="M1874" s="191"/>
      <c r="N1874" s="172"/>
      <c r="O1874" s="172"/>
      <c r="P1874" s="172"/>
      <c r="Q1874" s="172"/>
    </row>
    <row r="1875" spans="6:17" s="170" customFormat="1" x14ac:dyDescent="0.2">
      <c r="F1875" s="187"/>
      <c r="G1875" s="187"/>
      <c r="H1875" s="188"/>
      <c r="I1875" s="189"/>
      <c r="J1875" s="190"/>
      <c r="K1875" s="190"/>
      <c r="L1875" s="190"/>
      <c r="M1875" s="191"/>
      <c r="N1875" s="172"/>
      <c r="O1875" s="172"/>
      <c r="P1875" s="172"/>
      <c r="Q1875" s="172"/>
    </row>
    <row r="1876" spans="6:17" s="170" customFormat="1" x14ac:dyDescent="0.2">
      <c r="F1876" s="187"/>
      <c r="G1876" s="187"/>
      <c r="H1876" s="188"/>
      <c r="I1876" s="189"/>
      <c r="J1876" s="190"/>
      <c r="K1876" s="190"/>
      <c r="L1876" s="190"/>
      <c r="M1876" s="191"/>
      <c r="N1876" s="172"/>
      <c r="O1876" s="172"/>
      <c r="P1876" s="172"/>
      <c r="Q1876" s="172"/>
    </row>
    <row r="1877" spans="6:17" s="170" customFormat="1" x14ac:dyDescent="0.2">
      <c r="F1877" s="187"/>
      <c r="G1877" s="187"/>
      <c r="H1877" s="188"/>
      <c r="I1877" s="189"/>
      <c r="J1877" s="190"/>
      <c r="K1877" s="190"/>
      <c r="L1877" s="190"/>
      <c r="M1877" s="191"/>
      <c r="N1877" s="172"/>
      <c r="O1877" s="172"/>
      <c r="P1877" s="172"/>
      <c r="Q1877" s="172"/>
    </row>
    <row r="1878" spans="6:17" s="170" customFormat="1" x14ac:dyDescent="0.2">
      <c r="F1878" s="187"/>
      <c r="G1878" s="187"/>
      <c r="H1878" s="188"/>
      <c r="I1878" s="189"/>
      <c r="J1878" s="190"/>
      <c r="K1878" s="190"/>
      <c r="L1878" s="190"/>
      <c r="M1878" s="191"/>
      <c r="N1878" s="172"/>
      <c r="O1878" s="172"/>
      <c r="P1878" s="172"/>
      <c r="Q1878" s="172"/>
    </row>
    <row r="1879" spans="6:17" s="170" customFormat="1" x14ac:dyDescent="0.2">
      <c r="F1879" s="187"/>
      <c r="G1879" s="187"/>
      <c r="H1879" s="188"/>
      <c r="I1879" s="189"/>
      <c r="J1879" s="190"/>
      <c r="K1879" s="190"/>
      <c r="L1879" s="190"/>
      <c r="M1879" s="191"/>
      <c r="N1879" s="172"/>
      <c r="O1879" s="172"/>
      <c r="P1879" s="172"/>
      <c r="Q1879" s="172"/>
    </row>
    <row r="1880" spans="6:17" s="170" customFormat="1" x14ac:dyDescent="0.2">
      <c r="F1880" s="187"/>
      <c r="G1880" s="187"/>
      <c r="H1880" s="188"/>
      <c r="I1880" s="189"/>
      <c r="J1880" s="190"/>
      <c r="K1880" s="190"/>
      <c r="L1880" s="190"/>
      <c r="M1880" s="191"/>
      <c r="N1880" s="172"/>
      <c r="O1880" s="172"/>
      <c r="P1880" s="172"/>
      <c r="Q1880" s="172"/>
    </row>
    <row r="1881" spans="6:17" s="170" customFormat="1" x14ac:dyDescent="0.2">
      <c r="F1881" s="187"/>
      <c r="G1881" s="187"/>
      <c r="H1881" s="188"/>
      <c r="I1881" s="189"/>
      <c r="J1881" s="190"/>
      <c r="K1881" s="190"/>
      <c r="L1881" s="190"/>
      <c r="M1881" s="191"/>
      <c r="N1881" s="172"/>
      <c r="O1881" s="172"/>
      <c r="P1881" s="172"/>
      <c r="Q1881" s="172"/>
    </row>
    <row r="1882" spans="6:17" s="170" customFormat="1" x14ac:dyDescent="0.2">
      <c r="F1882" s="187"/>
      <c r="G1882" s="187"/>
      <c r="H1882" s="188"/>
      <c r="I1882" s="189"/>
      <c r="J1882" s="190"/>
      <c r="K1882" s="190"/>
      <c r="L1882" s="190"/>
      <c r="M1882" s="191"/>
      <c r="N1882" s="172"/>
      <c r="O1882" s="172"/>
      <c r="P1882" s="172"/>
      <c r="Q1882" s="172"/>
    </row>
    <row r="1883" spans="6:17" s="170" customFormat="1" x14ac:dyDescent="0.2">
      <c r="F1883" s="187"/>
      <c r="G1883" s="187"/>
      <c r="H1883" s="188"/>
      <c r="I1883" s="189"/>
      <c r="J1883" s="190"/>
      <c r="K1883" s="190"/>
      <c r="L1883" s="190"/>
      <c r="M1883" s="191"/>
      <c r="N1883" s="172"/>
      <c r="O1883" s="172"/>
      <c r="P1883" s="172"/>
      <c r="Q1883" s="172"/>
    </row>
    <row r="1884" spans="6:17" s="170" customFormat="1" x14ac:dyDescent="0.2">
      <c r="F1884" s="187"/>
      <c r="G1884" s="187"/>
      <c r="H1884" s="188"/>
      <c r="I1884" s="189"/>
      <c r="J1884" s="190"/>
      <c r="K1884" s="190"/>
      <c r="L1884" s="190"/>
      <c r="M1884" s="191"/>
      <c r="N1884" s="172"/>
      <c r="O1884" s="172"/>
      <c r="P1884" s="172"/>
      <c r="Q1884" s="172"/>
    </row>
    <row r="1885" spans="6:17" s="170" customFormat="1" x14ac:dyDescent="0.2">
      <c r="F1885" s="187"/>
      <c r="G1885" s="187"/>
      <c r="H1885" s="188"/>
      <c r="I1885" s="189"/>
      <c r="J1885" s="190"/>
      <c r="K1885" s="190"/>
      <c r="L1885" s="190"/>
      <c r="M1885" s="191"/>
      <c r="N1885" s="172"/>
      <c r="O1885" s="172"/>
      <c r="P1885" s="172"/>
      <c r="Q1885" s="172"/>
    </row>
    <row r="1886" spans="6:17" s="170" customFormat="1" x14ac:dyDescent="0.2">
      <c r="F1886" s="187"/>
      <c r="G1886" s="187"/>
      <c r="H1886" s="188"/>
      <c r="I1886" s="189"/>
      <c r="J1886" s="190"/>
      <c r="K1886" s="190"/>
      <c r="L1886" s="190"/>
      <c r="M1886" s="191"/>
      <c r="N1886" s="172"/>
      <c r="O1886" s="172"/>
      <c r="P1886" s="172"/>
      <c r="Q1886" s="172"/>
    </row>
    <row r="1887" spans="6:17" s="170" customFormat="1" x14ac:dyDescent="0.2">
      <c r="F1887" s="187"/>
      <c r="G1887" s="187"/>
      <c r="H1887" s="188"/>
      <c r="I1887" s="189"/>
      <c r="J1887" s="190"/>
      <c r="K1887" s="190"/>
      <c r="L1887" s="190"/>
      <c r="M1887" s="191"/>
      <c r="N1887" s="172"/>
      <c r="O1887" s="172"/>
      <c r="P1887" s="172"/>
      <c r="Q1887" s="172"/>
    </row>
    <row r="1888" spans="6:17" s="170" customFormat="1" x14ac:dyDescent="0.2">
      <c r="F1888" s="187"/>
      <c r="G1888" s="187"/>
      <c r="H1888" s="188"/>
      <c r="I1888" s="189"/>
      <c r="J1888" s="190"/>
      <c r="K1888" s="190"/>
      <c r="L1888" s="190"/>
      <c r="M1888" s="191"/>
      <c r="N1888" s="172"/>
      <c r="O1888" s="172"/>
      <c r="P1888" s="172"/>
      <c r="Q1888" s="172"/>
    </row>
    <row r="1889" spans="6:17" s="170" customFormat="1" x14ac:dyDescent="0.2">
      <c r="F1889" s="187"/>
      <c r="G1889" s="187"/>
      <c r="H1889" s="188"/>
      <c r="I1889" s="189"/>
      <c r="J1889" s="190"/>
      <c r="K1889" s="190"/>
      <c r="L1889" s="190"/>
      <c r="M1889" s="191"/>
      <c r="N1889" s="172"/>
      <c r="O1889" s="172"/>
      <c r="P1889" s="172"/>
      <c r="Q1889" s="172"/>
    </row>
    <row r="1890" spans="6:17" s="170" customFormat="1" x14ac:dyDescent="0.2">
      <c r="F1890" s="187"/>
      <c r="G1890" s="187"/>
      <c r="H1890" s="188"/>
      <c r="I1890" s="189"/>
      <c r="J1890" s="190"/>
      <c r="K1890" s="190"/>
      <c r="L1890" s="190"/>
      <c r="M1890" s="191"/>
      <c r="N1890" s="172"/>
      <c r="O1890" s="172"/>
      <c r="P1890" s="172"/>
      <c r="Q1890" s="172"/>
    </row>
    <row r="1891" spans="6:17" s="170" customFormat="1" x14ac:dyDescent="0.2">
      <c r="F1891" s="187"/>
      <c r="G1891" s="187"/>
      <c r="H1891" s="188"/>
      <c r="I1891" s="189"/>
      <c r="J1891" s="190"/>
      <c r="K1891" s="190"/>
      <c r="L1891" s="190"/>
      <c r="M1891" s="191"/>
      <c r="N1891" s="172"/>
      <c r="O1891" s="172"/>
      <c r="P1891" s="172"/>
      <c r="Q1891" s="172"/>
    </row>
    <row r="1892" spans="6:17" s="170" customFormat="1" x14ac:dyDescent="0.2">
      <c r="F1892" s="187"/>
      <c r="G1892" s="187"/>
      <c r="H1892" s="188"/>
      <c r="I1892" s="189"/>
      <c r="J1892" s="190"/>
      <c r="K1892" s="190"/>
      <c r="L1892" s="190"/>
      <c r="M1892" s="191"/>
      <c r="N1892" s="172"/>
      <c r="O1892" s="172"/>
      <c r="P1892" s="172"/>
      <c r="Q1892" s="172"/>
    </row>
    <row r="1893" spans="6:17" s="170" customFormat="1" x14ac:dyDescent="0.2">
      <c r="F1893" s="187"/>
      <c r="G1893" s="187"/>
      <c r="H1893" s="188"/>
      <c r="I1893" s="189"/>
      <c r="J1893" s="190"/>
      <c r="K1893" s="190"/>
      <c r="L1893" s="190"/>
      <c r="M1893" s="191"/>
      <c r="N1893" s="172"/>
      <c r="O1893" s="172"/>
      <c r="P1893" s="172"/>
      <c r="Q1893" s="172"/>
    </row>
    <row r="1894" spans="6:17" s="170" customFormat="1" x14ac:dyDescent="0.2">
      <c r="F1894" s="187"/>
      <c r="G1894" s="187"/>
      <c r="H1894" s="188"/>
      <c r="I1894" s="189"/>
      <c r="J1894" s="190"/>
      <c r="K1894" s="190"/>
      <c r="L1894" s="190"/>
      <c r="M1894" s="191"/>
      <c r="N1894" s="172"/>
      <c r="O1894" s="172"/>
      <c r="P1894" s="172"/>
      <c r="Q1894" s="172"/>
    </row>
    <row r="1895" spans="6:17" s="170" customFormat="1" x14ac:dyDescent="0.2">
      <c r="F1895" s="187"/>
      <c r="G1895" s="187"/>
      <c r="H1895" s="188"/>
      <c r="I1895" s="189"/>
      <c r="J1895" s="190"/>
      <c r="K1895" s="190"/>
      <c r="L1895" s="190"/>
      <c r="M1895" s="191"/>
      <c r="N1895" s="172"/>
      <c r="O1895" s="172"/>
      <c r="P1895" s="172"/>
      <c r="Q1895" s="172"/>
    </row>
    <row r="1896" spans="6:17" s="170" customFormat="1" x14ac:dyDescent="0.2">
      <c r="F1896" s="187"/>
      <c r="G1896" s="187"/>
      <c r="H1896" s="188"/>
      <c r="I1896" s="189"/>
      <c r="J1896" s="190"/>
      <c r="K1896" s="190"/>
      <c r="L1896" s="190"/>
      <c r="M1896" s="191"/>
      <c r="N1896" s="172"/>
      <c r="O1896" s="172"/>
      <c r="P1896" s="172"/>
      <c r="Q1896" s="172"/>
    </row>
    <row r="1897" spans="6:17" s="170" customFormat="1" x14ac:dyDescent="0.2">
      <c r="F1897" s="187"/>
      <c r="G1897" s="187"/>
      <c r="H1897" s="188"/>
      <c r="I1897" s="189"/>
      <c r="J1897" s="190"/>
      <c r="K1897" s="190"/>
      <c r="L1897" s="190"/>
      <c r="M1897" s="191"/>
      <c r="N1897" s="172"/>
      <c r="O1897" s="172"/>
      <c r="P1897" s="172"/>
      <c r="Q1897" s="172"/>
    </row>
    <row r="1898" spans="6:17" s="170" customFormat="1" x14ac:dyDescent="0.2">
      <c r="F1898" s="187"/>
      <c r="G1898" s="187"/>
      <c r="H1898" s="188"/>
      <c r="I1898" s="189"/>
      <c r="J1898" s="190"/>
      <c r="K1898" s="190"/>
      <c r="L1898" s="190"/>
      <c r="M1898" s="191"/>
      <c r="N1898" s="172"/>
      <c r="O1898" s="172"/>
      <c r="P1898" s="172"/>
      <c r="Q1898" s="172"/>
    </row>
    <row r="1899" spans="6:17" s="170" customFormat="1" x14ac:dyDescent="0.2">
      <c r="F1899" s="187"/>
      <c r="G1899" s="187"/>
      <c r="H1899" s="188"/>
      <c r="I1899" s="189"/>
      <c r="J1899" s="190"/>
      <c r="K1899" s="190"/>
      <c r="L1899" s="190"/>
      <c r="M1899" s="191"/>
      <c r="N1899" s="172"/>
      <c r="O1899" s="172"/>
      <c r="P1899" s="172"/>
      <c r="Q1899" s="172"/>
    </row>
    <row r="1900" spans="6:17" s="170" customFormat="1" x14ac:dyDescent="0.2">
      <c r="F1900" s="187"/>
      <c r="G1900" s="187"/>
      <c r="H1900" s="188"/>
      <c r="I1900" s="189"/>
      <c r="J1900" s="190"/>
      <c r="K1900" s="190"/>
      <c r="L1900" s="190"/>
      <c r="M1900" s="191"/>
      <c r="N1900" s="172"/>
      <c r="O1900" s="172"/>
      <c r="P1900" s="172"/>
      <c r="Q1900" s="172"/>
    </row>
    <row r="1901" spans="6:17" s="170" customFormat="1" x14ac:dyDescent="0.2">
      <c r="F1901" s="187"/>
      <c r="G1901" s="187"/>
      <c r="H1901" s="188"/>
      <c r="I1901" s="189"/>
      <c r="J1901" s="190"/>
      <c r="K1901" s="190"/>
      <c r="L1901" s="190"/>
      <c r="M1901" s="191"/>
      <c r="N1901" s="172"/>
      <c r="O1901" s="172"/>
      <c r="P1901" s="172"/>
      <c r="Q1901" s="172"/>
    </row>
    <row r="1902" spans="6:17" s="170" customFormat="1" x14ac:dyDescent="0.2">
      <c r="F1902" s="187"/>
      <c r="G1902" s="187"/>
      <c r="H1902" s="188"/>
      <c r="I1902" s="189"/>
      <c r="J1902" s="190"/>
      <c r="K1902" s="190"/>
      <c r="L1902" s="190"/>
      <c r="M1902" s="191"/>
      <c r="N1902" s="172"/>
      <c r="O1902" s="172"/>
      <c r="P1902" s="172"/>
      <c r="Q1902" s="172"/>
    </row>
    <row r="1903" spans="6:17" s="170" customFormat="1" x14ac:dyDescent="0.2">
      <c r="F1903" s="187"/>
      <c r="G1903" s="187"/>
      <c r="H1903" s="188"/>
      <c r="I1903" s="189"/>
      <c r="J1903" s="190"/>
      <c r="K1903" s="190"/>
      <c r="L1903" s="190"/>
      <c r="M1903" s="191"/>
      <c r="N1903" s="172"/>
      <c r="O1903" s="172"/>
      <c r="P1903" s="172"/>
      <c r="Q1903" s="172"/>
    </row>
    <row r="1904" spans="6:17" s="170" customFormat="1" x14ac:dyDescent="0.2">
      <c r="F1904" s="187"/>
      <c r="G1904" s="187"/>
      <c r="H1904" s="188"/>
      <c r="I1904" s="189"/>
      <c r="J1904" s="190"/>
      <c r="K1904" s="190"/>
      <c r="L1904" s="190"/>
      <c r="M1904" s="191"/>
      <c r="N1904" s="172"/>
      <c r="O1904" s="172"/>
      <c r="P1904" s="172"/>
      <c r="Q1904" s="172"/>
    </row>
    <row r="1905" spans="6:17" s="170" customFormat="1" x14ac:dyDescent="0.2">
      <c r="F1905" s="187"/>
      <c r="G1905" s="187"/>
      <c r="H1905" s="188"/>
      <c r="I1905" s="189"/>
      <c r="J1905" s="190"/>
      <c r="K1905" s="190"/>
      <c r="L1905" s="190"/>
      <c r="M1905" s="191"/>
      <c r="N1905" s="172"/>
      <c r="O1905" s="172"/>
      <c r="P1905" s="172"/>
      <c r="Q1905" s="172"/>
    </row>
    <row r="1906" spans="6:17" s="170" customFormat="1" x14ac:dyDescent="0.2">
      <c r="F1906" s="187"/>
      <c r="G1906" s="187"/>
      <c r="H1906" s="188"/>
      <c r="I1906" s="189"/>
      <c r="J1906" s="190"/>
      <c r="K1906" s="190"/>
      <c r="L1906" s="190"/>
      <c r="M1906" s="191"/>
      <c r="N1906" s="172"/>
      <c r="O1906" s="172"/>
      <c r="P1906" s="172"/>
      <c r="Q1906" s="172"/>
    </row>
    <row r="1907" spans="6:17" s="170" customFormat="1" x14ac:dyDescent="0.2">
      <c r="F1907" s="187"/>
      <c r="G1907" s="187"/>
      <c r="H1907" s="188"/>
      <c r="I1907" s="189"/>
      <c r="J1907" s="190"/>
      <c r="K1907" s="190"/>
      <c r="L1907" s="190"/>
      <c r="M1907" s="191"/>
      <c r="N1907" s="172"/>
      <c r="O1907" s="172"/>
      <c r="P1907" s="172"/>
      <c r="Q1907" s="172"/>
    </row>
    <row r="1908" spans="6:17" s="170" customFormat="1" x14ac:dyDescent="0.2">
      <c r="F1908" s="187"/>
      <c r="G1908" s="187"/>
      <c r="H1908" s="188"/>
      <c r="I1908" s="189"/>
      <c r="J1908" s="190"/>
      <c r="K1908" s="190"/>
      <c r="L1908" s="190"/>
      <c r="M1908" s="191"/>
      <c r="N1908" s="172"/>
      <c r="O1908" s="172"/>
      <c r="P1908" s="172"/>
      <c r="Q1908" s="172"/>
    </row>
    <row r="1909" spans="6:17" s="170" customFormat="1" x14ac:dyDescent="0.2">
      <c r="F1909" s="187"/>
      <c r="G1909" s="187"/>
      <c r="H1909" s="188"/>
      <c r="I1909" s="189"/>
      <c r="J1909" s="190"/>
      <c r="K1909" s="190"/>
      <c r="L1909" s="190"/>
      <c r="M1909" s="191"/>
      <c r="N1909" s="172"/>
      <c r="O1909" s="172"/>
      <c r="P1909" s="172"/>
      <c r="Q1909" s="172"/>
    </row>
    <row r="1910" spans="6:17" s="170" customFormat="1" x14ac:dyDescent="0.2">
      <c r="F1910" s="187"/>
      <c r="G1910" s="187"/>
      <c r="H1910" s="188"/>
      <c r="I1910" s="189"/>
      <c r="J1910" s="190"/>
      <c r="K1910" s="190"/>
      <c r="L1910" s="190"/>
      <c r="M1910" s="191"/>
      <c r="N1910" s="172"/>
      <c r="O1910" s="172"/>
      <c r="P1910" s="172"/>
      <c r="Q1910" s="172"/>
    </row>
    <row r="1911" spans="6:17" s="170" customFormat="1" x14ac:dyDescent="0.2">
      <c r="F1911" s="187"/>
      <c r="G1911" s="187"/>
      <c r="H1911" s="188"/>
      <c r="I1911" s="189"/>
      <c r="J1911" s="190"/>
      <c r="K1911" s="190"/>
      <c r="L1911" s="190"/>
      <c r="M1911" s="191"/>
      <c r="N1911" s="172"/>
      <c r="O1911" s="172"/>
      <c r="P1911" s="172"/>
      <c r="Q1911" s="172"/>
    </row>
    <row r="1912" spans="6:17" s="170" customFormat="1" x14ac:dyDescent="0.2">
      <c r="F1912" s="187"/>
      <c r="G1912" s="187"/>
      <c r="H1912" s="188"/>
      <c r="I1912" s="189"/>
      <c r="J1912" s="190"/>
      <c r="K1912" s="190"/>
      <c r="L1912" s="190"/>
      <c r="M1912" s="191"/>
      <c r="N1912" s="172"/>
      <c r="O1912" s="172"/>
      <c r="P1912" s="172"/>
      <c r="Q1912" s="172"/>
    </row>
    <row r="1913" spans="6:17" s="170" customFormat="1" x14ac:dyDescent="0.2">
      <c r="F1913" s="187"/>
      <c r="G1913" s="187"/>
      <c r="H1913" s="188"/>
      <c r="I1913" s="189"/>
      <c r="J1913" s="190"/>
      <c r="K1913" s="190"/>
      <c r="L1913" s="190"/>
      <c r="M1913" s="191"/>
      <c r="N1913" s="172"/>
      <c r="O1913" s="172"/>
      <c r="P1913" s="172"/>
      <c r="Q1913" s="172"/>
    </row>
    <row r="1914" spans="6:17" s="170" customFormat="1" x14ac:dyDescent="0.2">
      <c r="F1914" s="187"/>
      <c r="G1914" s="187"/>
      <c r="H1914" s="188"/>
      <c r="I1914" s="189"/>
      <c r="J1914" s="190"/>
      <c r="K1914" s="190"/>
      <c r="L1914" s="190"/>
      <c r="M1914" s="191"/>
      <c r="N1914" s="172"/>
      <c r="O1914" s="172"/>
      <c r="P1914" s="172"/>
      <c r="Q1914" s="172"/>
    </row>
    <row r="1915" spans="6:17" s="170" customFormat="1" x14ac:dyDescent="0.2">
      <c r="F1915" s="187"/>
      <c r="G1915" s="187"/>
      <c r="H1915" s="188"/>
      <c r="I1915" s="189"/>
      <c r="J1915" s="190"/>
      <c r="K1915" s="190"/>
      <c r="L1915" s="190"/>
      <c r="M1915" s="191"/>
      <c r="N1915" s="172"/>
      <c r="O1915" s="172"/>
      <c r="P1915" s="172"/>
      <c r="Q1915" s="172"/>
    </row>
    <row r="1916" spans="6:17" s="170" customFormat="1" x14ac:dyDescent="0.2">
      <c r="F1916" s="187"/>
      <c r="G1916" s="187"/>
      <c r="H1916" s="188"/>
      <c r="I1916" s="189"/>
      <c r="J1916" s="190"/>
      <c r="K1916" s="190"/>
      <c r="L1916" s="190"/>
      <c r="M1916" s="191"/>
      <c r="N1916" s="172"/>
      <c r="O1916" s="172"/>
      <c r="P1916" s="172"/>
      <c r="Q1916" s="172"/>
    </row>
    <row r="1917" spans="6:17" s="170" customFormat="1" x14ac:dyDescent="0.2">
      <c r="F1917" s="187"/>
      <c r="G1917" s="187"/>
      <c r="H1917" s="188"/>
      <c r="I1917" s="189"/>
      <c r="J1917" s="190"/>
      <c r="K1917" s="190"/>
      <c r="L1917" s="190"/>
      <c r="M1917" s="191"/>
      <c r="N1917" s="172"/>
      <c r="O1917" s="172"/>
      <c r="P1917" s="172"/>
      <c r="Q1917" s="172"/>
    </row>
    <row r="1918" spans="6:17" s="170" customFormat="1" x14ac:dyDescent="0.2">
      <c r="F1918" s="187"/>
      <c r="G1918" s="187"/>
      <c r="H1918" s="188"/>
      <c r="I1918" s="189"/>
      <c r="J1918" s="190"/>
      <c r="K1918" s="190"/>
      <c r="L1918" s="190"/>
      <c r="M1918" s="191"/>
      <c r="N1918" s="172"/>
      <c r="O1918" s="172"/>
      <c r="P1918" s="172"/>
      <c r="Q1918" s="172"/>
    </row>
    <row r="1919" spans="6:17" s="170" customFormat="1" x14ac:dyDescent="0.2">
      <c r="F1919" s="187"/>
      <c r="G1919" s="187"/>
      <c r="H1919" s="188"/>
      <c r="I1919" s="189"/>
      <c r="J1919" s="190"/>
      <c r="K1919" s="190"/>
      <c r="L1919" s="190"/>
      <c r="M1919" s="191"/>
      <c r="N1919" s="172"/>
      <c r="O1919" s="172"/>
      <c r="P1919" s="172"/>
      <c r="Q1919" s="172"/>
    </row>
    <row r="1920" spans="6:17" s="170" customFormat="1" x14ac:dyDescent="0.2">
      <c r="F1920" s="187"/>
      <c r="G1920" s="187"/>
      <c r="H1920" s="188"/>
      <c r="I1920" s="189"/>
      <c r="J1920" s="190"/>
      <c r="K1920" s="190"/>
      <c r="L1920" s="190"/>
      <c r="M1920" s="191"/>
      <c r="N1920" s="172"/>
      <c r="O1920" s="172"/>
      <c r="P1920" s="172"/>
      <c r="Q1920" s="172"/>
    </row>
    <row r="1921" spans="6:17" s="170" customFormat="1" x14ac:dyDescent="0.2">
      <c r="F1921" s="187"/>
      <c r="G1921" s="187"/>
      <c r="H1921" s="188"/>
      <c r="I1921" s="189"/>
      <c r="J1921" s="190"/>
      <c r="K1921" s="190"/>
      <c r="L1921" s="190"/>
      <c r="M1921" s="191"/>
      <c r="N1921" s="172"/>
      <c r="O1921" s="172"/>
      <c r="P1921" s="172"/>
      <c r="Q1921" s="172"/>
    </row>
    <row r="1922" spans="6:17" s="170" customFormat="1" x14ac:dyDescent="0.2">
      <c r="F1922" s="187"/>
      <c r="G1922" s="187"/>
      <c r="H1922" s="188"/>
      <c r="I1922" s="189"/>
      <c r="J1922" s="190"/>
      <c r="K1922" s="190"/>
      <c r="L1922" s="190"/>
      <c r="M1922" s="191"/>
      <c r="N1922" s="172"/>
      <c r="O1922" s="172"/>
      <c r="P1922" s="172"/>
      <c r="Q1922" s="172"/>
    </row>
    <row r="1923" spans="6:17" s="170" customFormat="1" x14ac:dyDescent="0.2">
      <c r="F1923" s="187"/>
      <c r="G1923" s="187"/>
      <c r="H1923" s="188"/>
      <c r="I1923" s="189"/>
      <c r="J1923" s="190"/>
      <c r="K1923" s="190"/>
      <c r="L1923" s="190"/>
      <c r="M1923" s="191"/>
      <c r="N1923" s="172"/>
      <c r="O1923" s="172"/>
      <c r="P1923" s="172"/>
      <c r="Q1923" s="172"/>
    </row>
    <row r="1924" spans="6:17" s="170" customFormat="1" x14ac:dyDescent="0.2">
      <c r="F1924" s="187"/>
      <c r="G1924" s="187"/>
      <c r="H1924" s="188"/>
      <c r="I1924" s="189"/>
      <c r="J1924" s="190"/>
      <c r="K1924" s="190"/>
      <c r="L1924" s="190"/>
      <c r="M1924" s="191"/>
      <c r="N1924" s="172"/>
      <c r="O1924" s="172"/>
      <c r="P1924" s="172"/>
      <c r="Q1924" s="172"/>
    </row>
    <row r="1925" spans="6:17" s="170" customFormat="1" x14ac:dyDescent="0.2">
      <c r="F1925" s="187"/>
      <c r="G1925" s="187"/>
      <c r="H1925" s="188"/>
      <c r="I1925" s="189"/>
      <c r="J1925" s="190"/>
      <c r="K1925" s="190"/>
      <c r="L1925" s="190"/>
      <c r="M1925" s="191"/>
      <c r="N1925" s="172"/>
      <c r="O1925" s="172"/>
      <c r="P1925" s="172"/>
      <c r="Q1925" s="172"/>
    </row>
    <row r="1926" spans="6:17" s="170" customFormat="1" x14ac:dyDescent="0.2">
      <c r="F1926" s="187"/>
      <c r="G1926" s="187"/>
      <c r="H1926" s="188"/>
      <c r="I1926" s="189"/>
      <c r="J1926" s="190"/>
      <c r="K1926" s="190"/>
      <c r="L1926" s="190"/>
      <c r="M1926" s="191"/>
      <c r="N1926" s="172"/>
      <c r="O1926" s="172"/>
      <c r="P1926" s="172"/>
      <c r="Q1926" s="172"/>
    </row>
    <row r="1927" spans="6:17" s="170" customFormat="1" x14ac:dyDescent="0.2">
      <c r="F1927" s="187"/>
      <c r="G1927" s="187"/>
      <c r="H1927" s="188"/>
      <c r="I1927" s="189"/>
      <c r="J1927" s="190"/>
      <c r="K1927" s="190"/>
      <c r="L1927" s="190"/>
      <c r="M1927" s="191"/>
      <c r="N1927" s="172"/>
      <c r="O1927" s="172"/>
      <c r="P1927" s="172"/>
      <c r="Q1927" s="172"/>
    </row>
    <row r="1928" spans="6:17" s="170" customFormat="1" x14ac:dyDescent="0.2">
      <c r="F1928" s="187"/>
      <c r="G1928" s="187"/>
      <c r="H1928" s="188"/>
      <c r="I1928" s="189"/>
      <c r="J1928" s="190"/>
      <c r="K1928" s="190"/>
      <c r="L1928" s="190"/>
      <c r="M1928" s="191"/>
      <c r="N1928" s="172"/>
      <c r="O1928" s="172"/>
      <c r="P1928" s="172"/>
      <c r="Q1928" s="172"/>
    </row>
    <row r="1929" spans="6:17" s="170" customFormat="1" x14ac:dyDescent="0.2">
      <c r="F1929" s="187"/>
      <c r="G1929" s="187"/>
      <c r="H1929" s="188"/>
      <c r="I1929" s="189"/>
      <c r="J1929" s="190"/>
      <c r="K1929" s="190"/>
      <c r="L1929" s="190"/>
      <c r="M1929" s="191"/>
      <c r="N1929" s="172"/>
      <c r="O1929" s="172"/>
      <c r="P1929" s="172"/>
      <c r="Q1929" s="172"/>
    </row>
    <row r="1930" spans="6:17" s="170" customFormat="1" x14ac:dyDescent="0.2">
      <c r="F1930" s="187"/>
      <c r="G1930" s="187"/>
      <c r="H1930" s="188"/>
      <c r="I1930" s="189"/>
      <c r="J1930" s="190"/>
      <c r="K1930" s="190"/>
      <c r="L1930" s="190"/>
      <c r="M1930" s="191"/>
      <c r="N1930" s="172"/>
      <c r="O1930" s="172"/>
      <c r="P1930" s="172"/>
      <c r="Q1930" s="172"/>
    </row>
    <row r="1931" spans="6:17" s="170" customFormat="1" x14ac:dyDescent="0.2">
      <c r="F1931" s="187"/>
      <c r="G1931" s="187"/>
      <c r="H1931" s="188"/>
      <c r="I1931" s="189"/>
      <c r="J1931" s="190"/>
      <c r="K1931" s="190"/>
      <c r="L1931" s="190"/>
      <c r="M1931" s="191"/>
      <c r="N1931" s="172"/>
      <c r="O1931" s="172"/>
      <c r="P1931" s="172"/>
      <c r="Q1931" s="172"/>
    </row>
    <row r="1932" spans="6:17" s="170" customFormat="1" x14ac:dyDescent="0.2">
      <c r="F1932" s="187"/>
      <c r="G1932" s="187"/>
      <c r="H1932" s="188"/>
      <c r="I1932" s="189"/>
      <c r="J1932" s="190"/>
      <c r="K1932" s="190"/>
      <c r="L1932" s="190"/>
      <c r="M1932" s="191"/>
      <c r="N1932" s="172"/>
      <c r="O1932" s="172"/>
      <c r="P1932" s="172"/>
      <c r="Q1932" s="172"/>
    </row>
    <row r="1933" spans="6:17" s="170" customFormat="1" x14ac:dyDescent="0.2">
      <c r="F1933" s="187"/>
      <c r="G1933" s="187"/>
      <c r="H1933" s="188"/>
      <c r="I1933" s="189"/>
      <c r="J1933" s="190"/>
      <c r="K1933" s="190"/>
      <c r="L1933" s="190"/>
      <c r="M1933" s="191"/>
      <c r="N1933" s="172"/>
      <c r="O1933" s="172"/>
      <c r="P1933" s="172"/>
      <c r="Q1933" s="172"/>
    </row>
    <row r="1934" spans="6:17" s="170" customFormat="1" x14ac:dyDescent="0.2">
      <c r="F1934" s="187"/>
      <c r="G1934" s="187"/>
      <c r="H1934" s="188"/>
      <c r="I1934" s="189"/>
      <c r="J1934" s="190"/>
      <c r="K1934" s="190"/>
      <c r="L1934" s="190"/>
      <c r="M1934" s="191"/>
      <c r="N1934" s="172"/>
      <c r="O1934" s="172"/>
      <c r="P1934" s="172"/>
      <c r="Q1934" s="172"/>
    </row>
    <row r="1935" spans="6:17" s="170" customFormat="1" x14ac:dyDescent="0.2">
      <c r="F1935" s="187"/>
      <c r="G1935" s="187"/>
      <c r="H1935" s="188"/>
      <c r="I1935" s="189"/>
      <c r="J1935" s="190"/>
      <c r="K1935" s="190"/>
      <c r="L1935" s="190"/>
      <c r="M1935" s="191"/>
      <c r="N1935" s="172"/>
      <c r="O1935" s="172"/>
      <c r="P1935" s="172"/>
      <c r="Q1935" s="172"/>
    </row>
    <row r="1936" spans="6:17" s="170" customFormat="1" x14ac:dyDescent="0.2">
      <c r="F1936" s="187"/>
      <c r="G1936" s="187"/>
      <c r="H1936" s="188"/>
      <c r="I1936" s="189"/>
      <c r="J1936" s="190"/>
      <c r="K1936" s="190"/>
      <c r="L1936" s="190"/>
      <c r="M1936" s="191"/>
      <c r="N1936" s="172"/>
      <c r="O1936" s="172"/>
      <c r="P1936" s="172"/>
      <c r="Q1936" s="172"/>
    </row>
    <row r="1937" spans="6:17" s="170" customFormat="1" x14ac:dyDescent="0.2">
      <c r="F1937" s="187"/>
      <c r="G1937" s="187"/>
      <c r="H1937" s="188"/>
      <c r="I1937" s="189"/>
      <c r="J1937" s="190"/>
      <c r="K1937" s="190"/>
      <c r="L1937" s="190"/>
      <c r="M1937" s="191"/>
      <c r="N1937" s="172"/>
      <c r="O1937" s="172"/>
      <c r="P1937" s="172"/>
      <c r="Q1937" s="172"/>
    </row>
    <row r="1938" spans="6:17" s="170" customFormat="1" x14ac:dyDescent="0.2">
      <c r="F1938" s="187"/>
      <c r="G1938" s="187"/>
      <c r="H1938" s="188"/>
      <c r="I1938" s="189"/>
      <c r="J1938" s="190"/>
      <c r="K1938" s="190"/>
      <c r="L1938" s="190"/>
      <c r="M1938" s="191"/>
      <c r="N1938" s="172"/>
      <c r="O1938" s="172"/>
      <c r="P1938" s="172"/>
      <c r="Q1938" s="172"/>
    </row>
    <row r="1939" spans="6:17" s="170" customFormat="1" x14ac:dyDescent="0.2">
      <c r="F1939" s="187"/>
      <c r="G1939" s="187"/>
      <c r="H1939" s="188"/>
      <c r="I1939" s="189"/>
      <c r="J1939" s="190"/>
      <c r="K1939" s="190"/>
      <c r="L1939" s="190"/>
      <c r="M1939" s="191"/>
      <c r="N1939" s="172"/>
      <c r="O1939" s="172"/>
      <c r="P1939" s="172"/>
      <c r="Q1939" s="172"/>
    </row>
    <row r="1940" spans="6:17" s="170" customFormat="1" x14ac:dyDescent="0.2">
      <c r="F1940" s="187"/>
      <c r="G1940" s="187"/>
      <c r="H1940" s="188"/>
      <c r="I1940" s="189"/>
      <c r="J1940" s="190"/>
      <c r="K1940" s="190"/>
      <c r="L1940" s="190"/>
      <c r="M1940" s="191"/>
      <c r="N1940" s="172"/>
      <c r="O1940" s="172"/>
      <c r="P1940" s="172"/>
      <c r="Q1940" s="172"/>
    </row>
    <row r="1941" spans="6:17" s="170" customFormat="1" x14ac:dyDescent="0.2">
      <c r="F1941" s="187"/>
      <c r="G1941" s="187"/>
      <c r="H1941" s="188"/>
      <c r="I1941" s="189"/>
      <c r="J1941" s="190"/>
      <c r="K1941" s="190"/>
      <c r="L1941" s="190"/>
      <c r="M1941" s="191"/>
      <c r="N1941" s="172"/>
      <c r="O1941" s="172"/>
      <c r="P1941" s="172"/>
      <c r="Q1941" s="172"/>
    </row>
    <row r="1942" spans="6:17" s="170" customFormat="1" x14ac:dyDescent="0.2">
      <c r="F1942" s="187"/>
      <c r="G1942" s="187"/>
      <c r="H1942" s="188"/>
      <c r="I1942" s="189"/>
      <c r="J1942" s="190"/>
      <c r="K1942" s="190"/>
      <c r="L1942" s="190"/>
      <c r="M1942" s="191"/>
      <c r="N1942" s="172"/>
      <c r="O1942" s="172"/>
      <c r="P1942" s="172"/>
      <c r="Q1942" s="172"/>
    </row>
    <row r="1943" spans="6:17" s="170" customFormat="1" x14ac:dyDescent="0.2">
      <c r="F1943" s="187"/>
      <c r="G1943" s="187"/>
      <c r="H1943" s="188"/>
      <c r="I1943" s="189"/>
      <c r="J1943" s="190"/>
      <c r="K1943" s="190"/>
      <c r="L1943" s="190"/>
      <c r="M1943" s="191"/>
      <c r="N1943" s="172"/>
      <c r="O1943" s="172"/>
      <c r="P1943" s="172"/>
      <c r="Q1943" s="172"/>
    </row>
    <row r="1944" spans="6:17" s="170" customFormat="1" x14ac:dyDescent="0.2">
      <c r="F1944" s="187"/>
      <c r="G1944" s="187"/>
      <c r="H1944" s="188"/>
      <c r="I1944" s="189"/>
      <c r="J1944" s="190"/>
      <c r="K1944" s="190"/>
      <c r="L1944" s="190"/>
      <c r="M1944" s="191"/>
      <c r="N1944" s="172"/>
      <c r="O1944" s="172"/>
      <c r="P1944" s="172"/>
      <c r="Q1944" s="172"/>
    </row>
    <row r="1945" spans="6:17" s="170" customFormat="1" x14ac:dyDescent="0.2">
      <c r="F1945" s="187"/>
      <c r="G1945" s="187"/>
      <c r="H1945" s="188"/>
      <c r="I1945" s="189"/>
      <c r="J1945" s="190"/>
      <c r="K1945" s="190"/>
      <c r="L1945" s="190"/>
      <c r="M1945" s="191"/>
      <c r="N1945" s="172"/>
      <c r="O1945" s="172"/>
      <c r="P1945" s="172"/>
      <c r="Q1945" s="172"/>
    </row>
    <row r="1946" spans="6:17" s="170" customFormat="1" x14ac:dyDescent="0.2">
      <c r="F1946" s="187"/>
      <c r="G1946" s="187"/>
      <c r="H1946" s="188"/>
      <c r="I1946" s="189"/>
      <c r="J1946" s="190"/>
      <c r="K1946" s="190"/>
      <c r="L1946" s="190"/>
      <c r="M1946" s="191"/>
      <c r="N1946" s="172"/>
      <c r="O1946" s="172"/>
      <c r="P1946" s="172"/>
      <c r="Q1946" s="172"/>
    </row>
    <row r="1947" spans="6:17" s="170" customFormat="1" x14ac:dyDescent="0.2">
      <c r="F1947" s="187"/>
      <c r="G1947" s="187"/>
      <c r="H1947" s="188"/>
      <c r="I1947" s="189"/>
      <c r="J1947" s="190"/>
      <c r="K1947" s="190"/>
      <c r="L1947" s="190"/>
      <c r="M1947" s="191"/>
      <c r="N1947" s="172"/>
      <c r="O1947" s="172"/>
      <c r="P1947" s="172"/>
      <c r="Q1947" s="172"/>
    </row>
    <row r="1948" spans="6:17" s="170" customFormat="1" x14ac:dyDescent="0.2">
      <c r="F1948" s="187"/>
      <c r="G1948" s="187"/>
      <c r="H1948" s="188"/>
      <c r="I1948" s="189"/>
      <c r="J1948" s="190"/>
      <c r="K1948" s="190"/>
      <c r="L1948" s="190"/>
      <c r="M1948" s="191"/>
      <c r="N1948" s="172"/>
      <c r="O1948" s="172"/>
      <c r="P1948" s="172"/>
      <c r="Q1948" s="172"/>
    </row>
    <row r="1949" spans="6:17" s="170" customFormat="1" x14ac:dyDescent="0.2">
      <c r="F1949" s="187"/>
      <c r="G1949" s="187"/>
      <c r="H1949" s="188"/>
      <c r="I1949" s="189"/>
      <c r="J1949" s="190"/>
      <c r="K1949" s="190"/>
      <c r="L1949" s="190"/>
      <c r="M1949" s="191"/>
      <c r="N1949" s="172"/>
      <c r="O1949" s="172"/>
      <c r="P1949" s="172"/>
      <c r="Q1949" s="172"/>
    </row>
    <row r="1950" spans="6:17" s="170" customFormat="1" x14ac:dyDescent="0.2">
      <c r="F1950" s="187"/>
      <c r="G1950" s="187"/>
      <c r="H1950" s="188"/>
      <c r="I1950" s="189"/>
      <c r="J1950" s="190"/>
      <c r="K1950" s="190"/>
      <c r="L1950" s="190"/>
      <c r="M1950" s="191"/>
      <c r="N1950" s="172"/>
      <c r="O1950" s="172"/>
      <c r="P1950" s="172"/>
      <c r="Q1950" s="172"/>
    </row>
    <row r="1951" spans="6:17" s="170" customFormat="1" x14ac:dyDescent="0.2">
      <c r="F1951" s="187"/>
      <c r="G1951" s="187"/>
      <c r="H1951" s="188"/>
      <c r="I1951" s="189"/>
      <c r="J1951" s="190"/>
      <c r="K1951" s="190"/>
      <c r="L1951" s="190"/>
      <c r="M1951" s="191"/>
      <c r="N1951" s="172"/>
      <c r="O1951" s="172"/>
      <c r="P1951" s="172"/>
      <c r="Q1951" s="172"/>
    </row>
    <row r="1952" spans="6:17" s="170" customFormat="1" x14ac:dyDescent="0.2">
      <c r="F1952" s="187"/>
      <c r="G1952" s="187"/>
      <c r="H1952" s="188"/>
      <c r="I1952" s="189"/>
      <c r="J1952" s="190"/>
      <c r="K1952" s="190"/>
      <c r="L1952" s="190"/>
      <c r="M1952" s="191"/>
      <c r="N1952" s="172"/>
      <c r="O1952" s="172"/>
      <c r="P1952" s="172"/>
      <c r="Q1952" s="172"/>
    </row>
    <row r="1953" spans="6:17" s="170" customFormat="1" x14ac:dyDescent="0.2">
      <c r="F1953" s="187"/>
      <c r="G1953" s="187"/>
      <c r="H1953" s="188"/>
      <c r="I1953" s="189"/>
      <c r="J1953" s="190"/>
      <c r="K1953" s="190"/>
      <c r="L1953" s="190"/>
      <c r="M1953" s="191"/>
      <c r="N1953" s="172"/>
      <c r="O1953" s="172"/>
      <c r="P1953" s="172"/>
      <c r="Q1953" s="172"/>
    </row>
    <row r="1954" spans="6:17" s="170" customFormat="1" x14ac:dyDescent="0.2">
      <c r="F1954" s="187"/>
      <c r="G1954" s="187"/>
      <c r="H1954" s="188"/>
      <c r="I1954" s="189"/>
      <c r="J1954" s="190"/>
      <c r="K1954" s="190"/>
      <c r="L1954" s="190"/>
      <c r="M1954" s="191"/>
      <c r="N1954" s="172"/>
      <c r="O1954" s="172"/>
      <c r="P1954" s="172"/>
      <c r="Q1954" s="172"/>
    </row>
    <row r="1955" spans="6:17" s="170" customFormat="1" x14ac:dyDescent="0.2">
      <c r="F1955" s="187"/>
      <c r="G1955" s="187"/>
      <c r="H1955" s="188"/>
      <c r="I1955" s="189"/>
      <c r="J1955" s="190"/>
      <c r="K1955" s="190"/>
      <c r="L1955" s="190"/>
      <c r="M1955" s="191"/>
      <c r="N1955" s="172"/>
      <c r="O1955" s="172"/>
      <c r="P1955" s="172"/>
      <c r="Q1955" s="172"/>
    </row>
    <row r="1956" spans="6:17" s="170" customFormat="1" x14ac:dyDescent="0.2">
      <c r="F1956" s="187"/>
      <c r="G1956" s="187"/>
      <c r="H1956" s="188"/>
      <c r="I1956" s="189"/>
      <c r="J1956" s="190"/>
      <c r="K1956" s="190"/>
      <c r="L1956" s="190"/>
      <c r="M1956" s="191"/>
      <c r="N1956" s="172"/>
      <c r="O1956" s="172"/>
      <c r="P1956" s="172"/>
      <c r="Q1956" s="172"/>
    </row>
    <row r="1957" spans="6:17" s="170" customFormat="1" x14ac:dyDescent="0.2">
      <c r="F1957" s="187"/>
      <c r="G1957" s="187"/>
      <c r="H1957" s="188"/>
      <c r="I1957" s="189"/>
      <c r="J1957" s="190"/>
      <c r="K1957" s="190"/>
      <c r="L1957" s="190"/>
      <c r="M1957" s="191"/>
      <c r="N1957" s="172"/>
      <c r="O1957" s="172"/>
      <c r="P1957" s="172"/>
      <c r="Q1957" s="172"/>
    </row>
    <row r="1958" spans="6:17" s="170" customFormat="1" x14ac:dyDescent="0.2">
      <c r="F1958" s="187"/>
      <c r="G1958" s="187"/>
      <c r="H1958" s="188"/>
      <c r="I1958" s="189"/>
      <c r="J1958" s="190"/>
      <c r="K1958" s="190"/>
      <c r="L1958" s="190"/>
      <c r="M1958" s="191"/>
      <c r="N1958" s="172"/>
      <c r="O1958" s="172"/>
      <c r="P1958" s="172"/>
      <c r="Q1958" s="172"/>
    </row>
    <row r="1959" spans="6:17" s="170" customFormat="1" x14ac:dyDescent="0.2">
      <c r="F1959" s="187"/>
      <c r="G1959" s="187"/>
      <c r="H1959" s="188"/>
      <c r="I1959" s="189"/>
      <c r="J1959" s="190"/>
      <c r="K1959" s="190"/>
      <c r="L1959" s="190"/>
      <c r="M1959" s="191"/>
      <c r="N1959" s="172"/>
      <c r="O1959" s="172"/>
      <c r="P1959" s="172"/>
      <c r="Q1959" s="172"/>
    </row>
    <row r="1960" spans="6:17" s="170" customFormat="1" x14ac:dyDescent="0.2">
      <c r="F1960" s="187"/>
      <c r="G1960" s="187"/>
      <c r="H1960" s="188"/>
      <c r="I1960" s="189"/>
      <c r="J1960" s="190"/>
      <c r="K1960" s="190"/>
      <c r="L1960" s="190"/>
      <c r="M1960" s="191"/>
      <c r="N1960" s="172"/>
      <c r="O1960" s="172"/>
      <c r="P1960" s="172"/>
      <c r="Q1960" s="172"/>
    </row>
    <row r="1961" spans="6:17" s="170" customFormat="1" x14ac:dyDescent="0.2">
      <c r="F1961" s="187"/>
      <c r="G1961" s="187"/>
      <c r="H1961" s="188"/>
      <c r="I1961" s="189"/>
      <c r="J1961" s="190"/>
      <c r="K1961" s="190"/>
      <c r="L1961" s="190"/>
      <c r="M1961" s="191"/>
      <c r="N1961" s="172"/>
      <c r="O1961" s="172"/>
      <c r="P1961" s="172"/>
      <c r="Q1961" s="172"/>
    </row>
    <row r="1962" spans="6:17" s="170" customFormat="1" x14ac:dyDescent="0.2">
      <c r="F1962" s="187"/>
      <c r="G1962" s="187"/>
      <c r="H1962" s="188"/>
      <c r="I1962" s="189"/>
      <c r="J1962" s="190"/>
      <c r="K1962" s="190"/>
      <c r="L1962" s="190"/>
      <c r="M1962" s="191"/>
      <c r="N1962" s="172"/>
      <c r="O1962" s="172"/>
      <c r="P1962" s="172"/>
      <c r="Q1962" s="172"/>
    </row>
    <row r="1963" spans="6:17" s="170" customFormat="1" x14ac:dyDescent="0.2">
      <c r="F1963" s="187"/>
      <c r="G1963" s="187"/>
      <c r="H1963" s="188"/>
      <c r="I1963" s="189"/>
      <c r="J1963" s="190"/>
      <c r="K1963" s="190"/>
      <c r="L1963" s="190"/>
      <c r="M1963" s="191"/>
      <c r="N1963" s="172"/>
      <c r="O1963" s="172"/>
      <c r="P1963" s="172"/>
      <c r="Q1963" s="172"/>
    </row>
    <row r="1964" spans="6:17" s="170" customFormat="1" x14ac:dyDescent="0.2">
      <c r="F1964" s="187"/>
      <c r="G1964" s="187"/>
      <c r="H1964" s="188"/>
      <c r="I1964" s="189"/>
      <c r="J1964" s="190"/>
      <c r="K1964" s="190"/>
      <c r="L1964" s="190"/>
      <c r="M1964" s="191"/>
      <c r="N1964" s="172"/>
      <c r="O1964" s="172"/>
      <c r="P1964" s="172"/>
      <c r="Q1964" s="172"/>
    </row>
    <row r="1965" spans="6:17" s="170" customFormat="1" x14ac:dyDescent="0.2">
      <c r="F1965" s="187"/>
      <c r="G1965" s="187"/>
      <c r="H1965" s="188"/>
      <c r="I1965" s="189"/>
      <c r="J1965" s="190"/>
      <c r="K1965" s="190"/>
      <c r="L1965" s="190"/>
      <c r="M1965" s="191"/>
      <c r="N1965" s="172"/>
      <c r="O1965" s="172"/>
      <c r="P1965" s="172"/>
      <c r="Q1965" s="172"/>
    </row>
    <row r="1966" spans="6:17" s="170" customFormat="1" x14ac:dyDescent="0.2">
      <c r="F1966" s="187"/>
      <c r="G1966" s="187"/>
      <c r="H1966" s="188"/>
      <c r="I1966" s="189"/>
      <c r="J1966" s="190"/>
      <c r="K1966" s="190"/>
      <c r="L1966" s="190"/>
      <c r="M1966" s="191"/>
      <c r="N1966" s="172"/>
      <c r="O1966" s="172"/>
      <c r="P1966" s="172"/>
      <c r="Q1966" s="172"/>
    </row>
    <row r="1967" spans="6:17" s="170" customFormat="1" x14ac:dyDescent="0.2">
      <c r="F1967" s="187"/>
      <c r="G1967" s="187"/>
      <c r="H1967" s="188"/>
      <c r="I1967" s="189"/>
      <c r="J1967" s="190"/>
      <c r="K1967" s="190"/>
      <c r="L1967" s="190"/>
      <c r="M1967" s="191"/>
      <c r="N1967" s="172"/>
      <c r="O1967" s="172"/>
      <c r="P1967" s="172"/>
      <c r="Q1967" s="172"/>
    </row>
    <row r="1968" spans="6:17" s="170" customFormat="1" x14ac:dyDescent="0.2">
      <c r="F1968" s="187"/>
      <c r="G1968" s="187"/>
      <c r="H1968" s="188"/>
      <c r="I1968" s="189"/>
      <c r="J1968" s="190"/>
      <c r="K1968" s="190"/>
      <c r="L1968" s="190"/>
      <c r="M1968" s="191"/>
      <c r="N1968" s="172"/>
      <c r="O1968" s="172"/>
      <c r="P1968" s="172"/>
      <c r="Q1968" s="172"/>
    </row>
    <row r="1969" spans="6:17" s="170" customFormat="1" x14ac:dyDescent="0.2">
      <c r="F1969" s="187"/>
      <c r="G1969" s="187"/>
      <c r="H1969" s="188"/>
      <c r="I1969" s="189"/>
      <c r="J1969" s="190"/>
      <c r="K1969" s="190"/>
      <c r="L1969" s="190"/>
      <c r="M1969" s="191"/>
      <c r="N1969" s="172"/>
      <c r="O1969" s="172"/>
      <c r="P1969" s="172"/>
      <c r="Q1969" s="172"/>
    </row>
    <row r="1970" spans="6:17" s="170" customFormat="1" x14ac:dyDescent="0.2">
      <c r="F1970" s="187"/>
      <c r="G1970" s="187"/>
      <c r="H1970" s="188"/>
      <c r="I1970" s="189"/>
      <c r="J1970" s="190"/>
      <c r="K1970" s="190"/>
      <c r="L1970" s="190"/>
      <c r="M1970" s="191"/>
      <c r="N1970" s="172"/>
      <c r="O1970" s="172"/>
      <c r="P1970" s="172"/>
      <c r="Q1970" s="172"/>
    </row>
    <row r="1971" spans="6:17" s="170" customFormat="1" x14ac:dyDescent="0.2">
      <c r="F1971" s="187"/>
      <c r="G1971" s="187"/>
      <c r="H1971" s="188"/>
      <c r="I1971" s="189"/>
      <c r="J1971" s="190"/>
      <c r="K1971" s="190"/>
      <c r="L1971" s="190"/>
      <c r="M1971" s="191"/>
      <c r="N1971" s="172"/>
      <c r="O1971" s="172"/>
      <c r="P1971" s="172"/>
      <c r="Q1971" s="172"/>
    </row>
    <row r="1972" spans="6:17" s="170" customFormat="1" x14ac:dyDescent="0.2">
      <c r="F1972" s="187"/>
      <c r="G1972" s="187"/>
      <c r="H1972" s="188"/>
      <c r="I1972" s="189"/>
      <c r="J1972" s="190"/>
      <c r="K1972" s="190"/>
      <c r="L1972" s="190"/>
      <c r="M1972" s="191"/>
      <c r="N1972" s="172"/>
      <c r="O1972" s="172"/>
      <c r="P1972" s="172"/>
      <c r="Q1972" s="172"/>
    </row>
    <row r="1973" spans="6:17" s="170" customFormat="1" x14ac:dyDescent="0.2">
      <c r="F1973" s="187"/>
      <c r="G1973" s="187"/>
      <c r="H1973" s="188"/>
      <c r="I1973" s="189"/>
      <c r="J1973" s="190"/>
      <c r="K1973" s="190"/>
      <c r="L1973" s="190"/>
      <c r="M1973" s="191"/>
      <c r="N1973" s="172"/>
      <c r="O1973" s="172"/>
      <c r="P1973" s="172"/>
      <c r="Q1973" s="172"/>
    </row>
    <row r="1974" spans="6:17" s="170" customFormat="1" x14ac:dyDescent="0.2">
      <c r="F1974" s="187"/>
      <c r="G1974" s="187"/>
      <c r="H1974" s="188"/>
      <c r="I1974" s="189"/>
      <c r="J1974" s="190"/>
      <c r="K1974" s="190"/>
      <c r="L1974" s="190"/>
      <c r="M1974" s="191"/>
      <c r="N1974" s="172"/>
      <c r="O1974" s="172"/>
      <c r="P1974" s="172"/>
      <c r="Q1974" s="172"/>
    </row>
    <row r="1975" spans="6:17" s="170" customFormat="1" x14ac:dyDescent="0.2">
      <c r="F1975" s="187"/>
      <c r="G1975" s="187"/>
      <c r="H1975" s="188"/>
      <c r="I1975" s="189"/>
      <c r="J1975" s="190"/>
      <c r="K1975" s="190"/>
      <c r="L1975" s="190"/>
      <c r="M1975" s="191"/>
      <c r="N1975" s="172"/>
      <c r="O1975" s="172"/>
      <c r="P1975" s="172"/>
      <c r="Q1975" s="172"/>
    </row>
    <row r="1976" spans="6:17" s="170" customFormat="1" x14ac:dyDescent="0.2">
      <c r="F1976" s="187"/>
      <c r="G1976" s="187"/>
      <c r="H1976" s="188"/>
      <c r="I1976" s="189"/>
      <c r="J1976" s="190"/>
      <c r="K1976" s="190"/>
      <c r="L1976" s="190"/>
      <c r="M1976" s="191"/>
      <c r="N1976" s="172"/>
      <c r="O1976" s="172"/>
      <c r="P1976" s="172"/>
      <c r="Q1976" s="172"/>
    </row>
    <row r="1977" spans="6:17" s="170" customFormat="1" x14ac:dyDescent="0.2">
      <c r="F1977" s="187"/>
      <c r="G1977" s="187"/>
      <c r="H1977" s="188"/>
      <c r="I1977" s="189"/>
      <c r="J1977" s="190"/>
      <c r="K1977" s="190"/>
      <c r="L1977" s="190"/>
      <c r="M1977" s="191"/>
      <c r="N1977" s="172"/>
      <c r="O1977" s="172"/>
      <c r="P1977" s="172"/>
      <c r="Q1977" s="172"/>
    </row>
    <row r="1978" spans="6:17" s="170" customFormat="1" x14ac:dyDescent="0.2">
      <c r="F1978" s="187"/>
      <c r="G1978" s="187"/>
      <c r="H1978" s="188"/>
      <c r="I1978" s="189"/>
      <c r="J1978" s="190"/>
      <c r="K1978" s="190"/>
      <c r="L1978" s="190"/>
      <c r="M1978" s="191"/>
      <c r="N1978" s="172"/>
      <c r="O1978" s="172"/>
      <c r="P1978" s="172"/>
      <c r="Q1978" s="172"/>
    </row>
    <row r="1979" spans="6:17" s="170" customFormat="1" x14ac:dyDescent="0.2">
      <c r="F1979" s="187"/>
      <c r="G1979" s="187"/>
      <c r="H1979" s="188"/>
      <c r="I1979" s="189"/>
      <c r="J1979" s="190"/>
      <c r="K1979" s="190"/>
      <c r="L1979" s="190"/>
      <c r="M1979" s="191"/>
      <c r="N1979" s="172"/>
      <c r="O1979" s="172"/>
      <c r="P1979" s="172"/>
      <c r="Q1979" s="172"/>
    </row>
    <row r="1980" spans="6:17" s="170" customFormat="1" x14ac:dyDescent="0.2">
      <c r="F1980" s="187"/>
      <c r="G1980" s="187"/>
      <c r="H1980" s="188"/>
      <c r="I1980" s="189"/>
      <c r="J1980" s="190"/>
      <c r="K1980" s="190"/>
      <c r="L1980" s="190"/>
      <c r="M1980" s="191"/>
      <c r="N1980" s="172"/>
      <c r="O1980" s="172"/>
      <c r="P1980" s="172"/>
      <c r="Q1980" s="172"/>
    </row>
    <row r="1981" spans="6:17" s="170" customFormat="1" x14ac:dyDescent="0.2">
      <c r="F1981" s="187"/>
      <c r="G1981" s="187"/>
      <c r="H1981" s="188"/>
      <c r="I1981" s="189"/>
      <c r="J1981" s="190"/>
      <c r="K1981" s="190"/>
      <c r="L1981" s="190"/>
      <c r="M1981" s="191"/>
      <c r="N1981" s="172"/>
      <c r="O1981" s="172"/>
      <c r="P1981" s="172"/>
      <c r="Q1981" s="172"/>
    </row>
    <row r="1982" spans="6:17" s="170" customFormat="1" x14ac:dyDescent="0.2">
      <c r="F1982" s="187"/>
      <c r="G1982" s="187"/>
      <c r="H1982" s="188"/>
      <c r="I1982" s="189"/>
      <c r="J1982" s="190"/>
      <c r="K1982" s="190"/>
      <c r="L1982" s="190"/>
      <c r="M1982" s="191"/>
      <c r="N1982" s="172"/>
      <c r="O1982" s="172"/>
      <c r="P1982" s="172"/>
      <c r="Q1982" s="172"/>
    </row>
    <row r="1983" spans="6:17" s="170" customFormat="1" x14ac:dyDescent="0.2">
      <c r="F1983" s="187"/>
      <c r="G1983" s="187"/>
      <c r="H1983" s="188"/>
      <c r="I1983" s="189"/>
      <c r="J1983" s="190"/>
      <c r="K1983" s="190"/>
      <c r="L1983" s="190"/>
      <c r="M1983" s="191"/>
      <c r="N1983" s="172"/>
      <c r="O1983" s="172"/>
      <c r="P1983" s="172"/>
      <c r="Q1983" s="172"/>
    </row>
    <row r="1984" spans="6:17" s="170" customFormat="1" x14ac:dyDescent="0.2">
      <c r="F1984" s="187"/>
      <c r="G1984" s="187"/>
      <c r="H1984" s="188"/>
      <c r="I1984" s="189"/>
      <c r="J1984" s="190"/>
      <c r="K1984" s="190"/>
      <c r="L1984" s="190"/>
      <c r="M1984" s="191"/>
      <c r="N1984" s="172"/>
      <c r="O1984" s="172"/>
      <c r="P1984" s="172"/>
      <c r="Q1984" s="172"/>
    </row>
    <row r="1985" spans="6:17" s="170" customFormat="1" x14ac:dyDescent="0.2">
      <c r="F1985" s="187"/>
      <c r="G1985" s="187"/>
      <c r="H1985" s="188"/>
      <c r="I1985" s="189"/>
      <c r="J1985" s="190"/>
      <c r="K1985" s="190"/>
      <c r="L1985" s="190"/>
      <c r="M1985" s="191"/>
      <c r="N1985" s="172"/>
      <c r="O1985" s="172"/>
      <c r="P1985" s="172"/>
      <c r="Q1985" s="172"/>
    </row>
    <row r="1986" spans="6:17" s="170" customFormat="1" x14ac:dyDescent="0.2">
      <c r="F1986" s="187"/>
      <c r="G1986" s="187"/>
      <c r="H1986" s="188"/>
      <c r="I1986" s="189"/>
      <c r="J1986" s="190"/>
      <c r="K1986" s="190"/>
      <c r="L1986" s="190"/>
      <c r="M1986" s="191"/>
      <c r="N1986" s="172"/>
      <c r="O1986" s="172"/>
      <c r="P1986" s="172"/>
      <c r="Q1986" s="172"/>
    </row>
    <row r="1987" spans="6:17" s="170" customFormat="1" x14ac:dyDescent="0.2">
      <c r="F1987" s="187"/>
      <c r="G1987" s="187"/>
      <c r="H1987" s="188"/>
      <c r="I1987" s="189"/>
      <c r="J1987" s="190"/>
      <c r="K1987" s="190"/>
      <c r="L1987" s="190"/>
      <c r="M1987" s="191"/>
      <c r="N1987" s="172"/>
      <c r="O1987" s="172"/>
      <c r="P1987" s="172"/>
      <c r="Q1987" s="172"/>
    </row>
    <row r="1988" spans="6:17" s="170" customFormat="1" x14ac:dyDescent="0.2">
      <c r="F1988" s="187"/>
      <c r="G1988" s="187"/>
      <c r="H1988" s="188"/>
      <c r="I1988" s="189"/>
      <c r="J1988" s="190"/>
      <c r="K1988" s="190"/>
      <c r="L1988" s="190"/>
      <c r="M1988" s="191"/>
      <c r="N1988" s="172"/>
      <c r="O1988" s="172"/>
      <c r="P1988" s="172"/>
      <c r="Q1988" s="172"/>
    </row>
    <row r="1989" spans="6:17" s="170" customFormat="1" x14ac:dyDescent="0.2">
      <c r="F1989" s="187"/>
      <c r="G1989" s="187"/>
      <c r="H1989" s="188"/>
      <c r="I1989" s="189"/>
      <c r="J1989" s="190"/>
      <c r="K1989" s="190"/>
      <c r="L1989" s="190"/>
      <c r="M1989" s="191"/>
      <c r="N1989" s="172"/>
      <c r="O1989" s="172"/>
      <c r="P1989" s="172"/>
      <c r="Q1989" s="172"/>
    </row>
    <row r="1990" spans="6:17" s="170" customFormat="1" x14ac:dyDescent="0.2">
      <c r="F1990" s="187"/>
      <c r="G1990" s="187"/>
      <c r="H1990" s="188"/>
      <c r="I1990" s="189"/>
      <c r="J1990" s="190"/>
      <c r="K1990" s="190"/>
      <c r="L1990" s="190"/>
      <c r="M1990" s="191"/>
      <c r="N1990" s="172"/>
      <c r="O1990" s="172"/>
      <c r="P1990" s="172"/>
      <c r="Q1990" s="172"/>
    </row>
    <row r="1991" spans="6:17" s="170" customFormat="1" x14ac:dyDescent="0.2">
      <c r="F1991" s="187"/>
      <c r="G1991" s="187"/>
      <c r="H1991" s="188"/>
      <c r="I1991" s="189"/>
      <c r="J1991" s="190"/>
      <c r="K1991" s="190"/>
      <c r="L1991" s="190"/>
      <c r="M1991" s="191"/>
      <c r="N1991" s="172"/>
      <c r="O1991" s="172"/>
      <c r="P1991" s="172"/>
      <c r="Q1991" s="172"/>
    </row>
    <row r="1992" spans="6:17" s="170" customFormat="1" x14ac:dyDescent="0.2">
      <c r="F1992" s="187"/>
      <c r="G1992" s="187"/>
      <c r="H1992" s="188"/>
      <c r="I1992" s="189"/>
      <c r="J1992" s="190"/>
      <c r="K1992" s="190"/>
      <c r="L1992" s="190"/>
      <c r="M1992" s="191"/>
      <c r="N1992" s="172"/>
      <c r="O1992" s="172"/>
      <c r="P1992" s="172"/>
      <c r="Q1992" s="172"/>
    </row>
    <row r="1993" spans="6:17" s="170" customFormat="1" x14ac:dyDescent="0.2">
      <c r="F1993" s="187"/>
      <c r="G1993" s="187"/>
      <c r="H1993" s="188"/>
      <c r="I1993" s="189"/>
      <c r="J1993" s="190"/>
      <c r="K1993" s="190"/>
      <c r="L1993" s="190"/>
      <c r="M1993" s="191"/>
      <c r="N1993" s="172"/>
      <c r="O1993" s="172"/>
      <c r="P1993" s="172"/>
      <c r="Q1993" s="172"/>
    </row>
    <row r="1994" spans="6:17" s="170" customFormat="1" x14ac:dyDescent="0.2">
      <c r="F1994" s="187"/>
      <c r="G1994" s="187"/>
      <c r="H1994" s="188"/>
      <c r="I1994" s="189"/>
      <c r="J1994" s="190"/>
      <c r="K1994" s="190"/>
      <c r="L1994" s="190"/>
      <c r="M1994" s="191"/>
      <c r="N1994" s="172"/>
      <c r="O1994" s="172"/>
      <c r="P1994" s="172"/>
      <c r="Q1994" s="172"/>
    </row>
    <row r="1995" spans="6:17" s="170" customFormat="1" x14ac:dyDescent="0.2">
      <c r="F1995" s="187"/>
      <c r="G1995" s="187"/>
      <c r="H1995" s="188"/>
      <c r="I1995" s="189"/>
      <c r="J1995" s="190"/>
      <c r="K1995" s="190"/>
      <c r="L1995" s="190"/>
      <c r="M1995" s="191"/>
      <c r="N1995" s="172"/>
      <c r="O1995" s="172"/>
      <c r="P1995" s="172"/>
      <c r="Q1995" s="172"/>
    </row>
    <row r="1996" spans="6:17" s="170" customFormat="1" x14ac:dyDescent="0.2">
      <c r="F1996" s="187"/>
      <c r="G1996" s="187"/>
      <c r="H1996" s="188"/>
      <c r="I1996" s="189"/>
      <c r="J1996" s="190"/>
      <c r="K1996" s="190"/>
      <c r="L1996" s="190"/>
      <c r="M1996" s="191"/>
      <c r="N1996" s="172"/>
      <c r="O1996" s="172"/>
      <c r="P1996" s="172"/>
      <c r="Q1996" s="172"/>
    </row>
    <row r="1997" spans="6:17" s="170" customFormat="1" x14ac:dyDescent="0.2">
      <c r="F1997" s="187"/>
      <c r="G1997" s="187"/>
      <c r="H1997" s="188"/>
      <c r="I1997" s="189"/>
      <c r="J1997" s="190"/>
      <c r="K1997" s="190"/>
      <c r="L1997" s="190"/>
      <c r="M1997" s="191"/>
      <c r="N1997" s="172"/>
      <c r="O1997" s="172"/>
      <c r="P1997" s="172"/>
      <c r="Q1997" s="172"/>
    </row>
    <row r="1998" spans="6:17" s="170" customFormat="1" x14ac:dyDescent="0.2">
      <c r="F1998" s="187"/>
      <c r="G1998" s="187"/>
      <c r="H1998" s="188"/>
      <c r="I1998" s="189"/>
      <c r="J1998" s="190"/>
      <c r="K1998" s="190"/>
      <c r="L1998" s="190"/>
      <c r="M1998" s="191"/>
      <c r="N1998" s="172"/>
      <c r="O1998" s="172"/>
      <c r="P1998" s="172"/>
      <c r="Q1998" s="172"/>
    </row>
    <row r="1999" spans="6:17" s="170" customFormat="1" x14ac:dyDescent="0.2">
      <c r="F1999" s="187"/>
      <c r="G1999" s="187"/>
      <c r="H1999" s="188"/>
      <c r="I1999" s="189"/>
      <c r="J1999" s="190"/>
      <c r="K1999" s="190"/>
      <c r="L1999" s="190"/>
      <c r="M1999" s="191"/>
      <c r="N1999" s="172"/>
      <c r="O1999" s="172"/>
      <c r="P1999" s="172"/>
      <c r="Q1999" s="172"/>
    </row>
    <row r="2000" spans="6:17" s="170" customFormat="1" x14ac:dyDescent="0.2">
      <c r="F2000" s="187"/>
      <c r="G2000" s="187"/>
      <c r="H2000" s="188"/>
      <c r="I2000" s="189"/>
      <c r="J2000" s="190"/>
      <c r="K2000" s="190"/>
      <c r="L2000" s="190"/>
      <c r="M2000" s="191"/>
      <c r="N2000" s="172"/>
      <c r="O2000" s="172"/>
      <c r="P2000" s="172"/>
      <c r="Q2000" s="172"/>
    </row>
    <row r="2001" spans="6:17" s="170" customFormat="1" x14ac:dyDescent="0.2">
      <c r="F2001" s="187"/>
      <c r="G2001" s="187"/>
      <c r="H2001" s="188"/>
      <c r="I2001" s="189"/>
      <c r="J2001" s="190"/>
      <c r="K2001" s="190"/>
      <c r="L2001" s="190"/>
      <c r="M2001" s="191"/>
      <c r="N2001" s="172"/>
      <c r="O2001" s="172"/>
      <c r="P2001" s="172"/>
      <c r="Q2001" s="172"/>
    </row>
    <row r="2002" spans="6:17" s="170" customFormat="1" x14ac:dyDescent="0.2">
      <c r="F2002" s="187"/>
      <c r="G2002" s="187"/>
      <c r="H2002" s="188"/>
      <c r="I2002" s="189"/>
      <c r="J2002" s="190"/>
      <c r="K2002" s="190"/>
      <c r="L2002" s="190"/>
      <c r="M2002" s="191"/>
      <c r="N2002" s="172"/>
      <c r="O2002" s="172"/>
      <c r="P2002" s="172"/>
      <c r="Q2002" s="172"/>
    </row>
    <row r="2003" spans="6:17" s="170" customFormat="1" x14ac:dyDescent="0.2">
      <c r="F2003" s="187"/>
      <c r="G2003" s="187"/>
      <c r="H2003" s="188"/>
      <c r="I2003" s="189"/>
      <c r="J2003" s="190"/>
      <c r="K2003" s="190"/>
      <c r="L2003" s="190"/>
      <c r="M2003" s="191"/>
      <c r="N2003" s="172"/>
      <c r="O2003" s="172"/>
      <c r="P2003" s="172"/>
      <c r="Q2003" s="172"/>
    </row>
    <row r="2004" spans="6:17" s="170" customFormat="1" x14ac:dyDescent="0.2">
      <c r="F2004" s="187"/>
      <c r="G2004" s="187"/>
      <c r="H2004" s="188"/>
      <c r="I2004" s="189"/>
      <c r="J2004" s="190"/>
      <c r="K2004" s="190"/>
      <c r="L2004" s="190"/>
      <c r="M2004" s="191"/>
      <c r="N2004" s="172"/>
      <c r="O2004" s="172"/>
      <c r="P2004" s="172"/>
      <c r="Q2004" s="172"/>
    </row>
    <row r="2005" spans="6:17" s="170" customFormat="1" x14ac:dyDescent="0.2">
      <c r="F2005" s="187"/>
      <c r="G2005" s="187"/>
      <c r="H2005" s="188"/>
      <c r="I2005" s="189"/>
      <c r="J2005" s="190"/>
      <c r="K2005" s="190"/>
      <c r="L2005" s="190"/>
      <c r="M2005" s="191"/>
      <c r="N2005" s="172"/>
      <c r="O2005" s="172"/>
      <c r="P2005" s="172"/>
      <c r="Q2005" s="172"/>
    </row>
    <row r="2006" spans="6:17" s="170" customFormat="1" x14ac:dyDescent="0.2">
      <c r="F2006" s="187"/>
      <c r="G2006" s="187"/>
      <c r="H2006" s="188"/>
      <c r="I2006" s="189"/>
      <c r="J2006" s="190"/>
      <c r="K2006" s="190"/>
      <c r="L2006" s="190"/>
      <c r="M2006" s="191"/>
      <c r="N2006" s="172"/>
      <c r="O2006" s="172"/>
      <c r="P2006" s="172"/>
      <c r="Q2006" s="172"/>
    </row>
    <row r="2007" spans="6:17" s="170" customFormat="1" x14ac:dyDescent="0.2">
      <c r="F2007" s="187"/>
      <c r="G2007" s="187"/>
      <c r="H2007" s="188"/>
      <c r="I2007" s="189"/>
      <c r="J2007" s="190"/>
      <c r="K2007" s="190"/>
      <c r="L2007" s="190"/>
      <c r="M2007" s="191"/>
      <c r="N2007" s="172"/>
      <c r="O2007" s="172"/>
      <c r="P2007" s="172"/>
      <c r="Q2007" s="172"/>
    </row>
    <row r="2008" spans="6:17" s="170" customFormat="1" x14ac:dyDescent="0.2">
      <c r="F2008" s="187"/>
      <c r="G2008" s="187"/>
      <c r="H2008" s="188"/>
      <c r="I2008" s="189"/>
      <c r="J2008" s="190"/>
      <c r="K2008" s="190"/>
      <c r="L2008" s="190"/>
      <c r="M2008" s="191"/>
      <c r="N2008" s="172"/>
      <c r="O2008" s="172"/>
      <c r="P2008" s="172"/>
      <c r="Q2008" s="172"/>
    </row>
    <row r="2009" spans="6:17" s="170" customFormat="1" x14ac:dyDescent="0.2">
      <c r="F2009" s="187"/>
      <c r="G2009" s="187"/>
      <c r="H2009" s="188"/>
      <c r="I2009" s="189"/>
      <c r="J2009" s="190"/>
      <c r="K2009" s="190"/>
      <c r="L2009" s="190"/>
      <c r="M2009" s="191"/>
      <c r="N2009" s="172"/>
      <c r="O2009" s="172"/>
      <c r="P2009" s="172"/>
      <c r="Q2009" s="172"/>
    </row>
    <row r="2010" spans="6:17" s="170" customFormat="1" x14ac:dyDescent="0.2">
      <c r="F2010" s="187"/>
      <c r="G2010" s="187"/>
      <c r="H2010" s="188"/>
      <c r="I2010" s="189"/>
      <c r="J2010" s="190"/>
      <c r="K2010" s="190"/>
      <c r="L2010" s="190"/>
      <c r="M2010" s="191"/>
      <c r="N2010" s="172"/>
      <c r="O2010" s="172"/>
      <c r="P2010" s="172"/>
      <c r="Q2010" s="172"/>
    </row>
    <row r="2011" spans="6:17" s="170" customFormat="1" x14ac:dyDescent="0.2">
      <c r="F2011" s="187"/>
      <c r="G2011" s="187"/>
      <c r="H2011" s="188"/>
      <c r="I2011" s="189"/>
      <c r="J2011" s="190"/>
      <c r="K2011" s="190"/>
      <c r="L2011" s="190"/>
      <c r="M2011" s="191"/>
      <c r="N2011" s="172"/>
      <c r="O2011" s="172"/>
      <c r="P2011" s="172"/>
      <c r="Q2011" s="172"/>
    </row>
    <row r="2012" spans="6:17" s="170" customFormat="1" x14ac:dyDescent="0.2">
      <c r="F2012" s="187"/>
      <c r="G2012" s="187"/>
      <c r="H2012" s="188"/>
      <c r="I2012" s="189"/>
      <c r="J2012" s="190"/>
      <c r="K2012" s="190"/>
      <c r="L2012" s="190"/>
      <c r="M2012" s="191"/>
      <c r="N2012" s="172"/>
      <c r="O2012" s="172"/>
      <c r="P2012" s="172"/>
      <c r="Q2012" s="172"/>
    </row>
    <row r="2013" spans="6:17" s="170" customFormat="1" x14ac:dyDescent="0.2">
      <c r="F2013" s="187"/>
      <c r="G2013" s="187"/>
      <c r="H2013" s="188"/>
      <c r="I2013" s="189"/>
      <c r="J2013" s="190"/>
      <c r="K2013" s="190"/>
      <c r="L2013" s="190"/>
      <c r="M2013" s="191"/>
      <c r="N2013" s="172"/>
      <c r="O2013" s="172"/>
      <c r="P2013" s="172"/>
      <c r="Q2013" s="172"/>
    </row>
    <row r="2014" spans="6:17" s="170" customFormat="1" x14ac:dyDescent="0.2">
      <c r="F2014" s="187"/>
      <c r="G2014" s="187"/>
      <c r="H2014" s="188"/>
      <c r="I2014" s="189"/>
      <c r="J2014" s="190"/>
      <c r="K2014" s="190"/>
      <c r="L2014" s="190"/>
      <c r="M2014" s="191"/>
      <c r="N2014" s="172"/>
      <c r="O2014" s="172"/>
      <c r="P2014" s="172"/>
      <c r="Q2014" s="172"/>
    </row>
    <row r="2015" spans="6:17" s="170" customFormat="1" x14ac:dyDescent="0.2">
      <c r="F2015" s="187"/>
      <c r="G2015" s="187"/>
      <c r="H2015" s="188"/>
      <c r="I2015" s="189"/>
      <c r="J2015" s="190"/>
      <c r="K2015" s="190"/>
      <c r="L2015" s="190"/>
      <c r="M2015" s="191"/>
      <c r="N2015" s="172"/>
      <c r="O2015" s="172"/>
      <c r="P2015" s="172"/>
      <c r="Q2015" s="172"/>
    </row>
    <row r="2016" spans="6:17" s="170" customFormat="1" x14ac:dyDescent="0.2">
      <c r="F2016" s="187"/>
      <c r="G2016" s="187"/>
      <c r="H2016" s="188"/>
      <c r="I2016" s="189"/>
      <c r="J2016" s="190"/>
      <c r="K2016" s="190"/>
      <c r="L2016" s="190"/>
      <c r="M2016" s="191"/>
      <c r="N2016" s="172"/>
      <c r="O2016" s="172"/>
      <c r="P2016" s="172"/>
      <c r="Q2016" s="172"/>
    </row>
    <row r="2017" spans="6:17" s="170" customFormat="1" x14ac:dyDescent="0.2">
      <c r="F2017" s="187"/>
      <c r="G2017" s="187"/>
      <c r="H2017" s="188"/>
      <c r="I2017" s="189"/>
      <c r="J2017" s="190"/>
      <c r="K2017" s="190"/>
      <c r="L2017" s="190"/>
      <c r="M2017" s="191"/>
      <c r="N2017" s="172"/>
      <c r="O2017" s="172"/>
      <c r="P2017" s="172"/>
      <c r="Q2017" s="172"/>
    </row>
    <row r="2018" spans="6:17" s="170" customFormat="1" x14ac:dyDescent="0.2">
      <c r="F2018" s="187"/>
      <c r="G2018" s="187"/>
      <c r="H2018" s="188"/>
      <c r="I2018" s="189"/>
      <c r="J2018" s="190"/>
      <c r="K2018" s="190"/>
      <c r="L2018" s="190"/>
      <c r="M2018" s="191"/>
      <c r="N2018" s="172"/>
      <c r="O2018" s="172"/>
      <c r="P2018" s="172"/>
      <c r="Q2018" s="172"/>
    </row>
    <row r="2019" spans="6:17" s="170" customFormat="1" x14ac:dyDescent="0.2">
      <c r="F2019" s="187"/>
      <c r="G2019" s="187"/>
      <c r="H2019" s="188"/>
      <c r="I2019" s="189"/>
      <c r="J2019" s="190"/>
      <c r="K2019" s="190"/>
      <c r="L2019" s="190"/>
      <c r="M2019" s="191"/>
      <c r="N2019" s="172"/>
      <c r="O2019" s="172"/>
      <c r="P2019" s="172"/>
      <c r="Q2019" s="172"/>
    </row>
    <row r="2020" spans="6:17" s="170" customFormat="1" x14ac:dyDescent="0.2">
      <c r="F2020" s="187"/>
      <c r="G2020" s="187"/>
      <c r="H2020" s="188"/>
      <c r="I2020" s="189"/>
      <c r="J2020" s="190"/>
      <c r="K2020" s="190"/>
      <c r="L2020" s="190"/>
      <c r="M2020" s="191"/>
      <c r="N2020" s="172"/>
      <c r="O2020" s="172"/>
      <c r="P2020" s="172"/>
      <c r="Q2020" s="172"/>
    </row>
    <row r="2021" spans="6:17" s="170" customFormat="1" x14ac:dyDescent="0.2">
      <c r="F2021" s="187"/>
      <c r="G2021" s="187"/>
      <c r="H2021" s="188"/>
      <c r="I2021" s="189"/>
      <c r="J2021" s="190"/>
      <c r="K2021" s="190"/>
      <c r="L2021" s="190"/>
      <c r="M2021" s="191"/>
      <c r="N2021" s="172"/>
      <c r="O2021" s="172"/>
      <c r="P2021" s="172"/>
      <c r="Q2021" s="172"/>
    </row>
    <row r="2022" spans="6:17" s="170" customFormat="1" x14ac:dyDescent="0.2">
      <c r="F2022" s="187"/>
      <c r="G2022" s="187"/>
      <c r="H2022" s="188"/>
      <c r="I2022" s="189"/>
      <c r="J2022" s="190"/>
      <c r="K2022" s="190"/>
      <c r="L2022" s="190"/>
      <c r="M2022" s="191"/>
      <c r="N2022" s="172"/>
      <c r="O2022" s="172"/>
      <c r="P2022" s="172"/>
      <c r="Q2022" s="172"/>
    </row>
    <row r="2023" spans="6:17" s="170" customFormat="1" x14ac:dyDescent="0.2">
      <c r="F2023" s="187"/>
      <c r="G2023" s="187"/>
      <c r="H2023" s="188"/>
      <c r="I2023" s="189"/>
      <c r="J2023" s="190"/>
      <c r="K2023" s="190"/>
      <c r="L2023" s="190"/>
      <c r="M2023" s="191"/>
      <c r="N2023" s="172"/>
      <c r="O2023" s="172"/>
      <c r="P2023" s="172"/>
      <c r="Q2023" s="172"/>
    </row>
    <row r="2024" spans="6:17" s="170" customFormat="1" x14ac:dyDescent="0.2">
      <c r="F2024" s="187"/>
      <c r="G2024" s="187"/>
      <c r="H2024" s="188"/>
      <c r="I2024" s="189"/>
      <c r="J2024" s="190"/>
      <c r="K2024" s="190"/>
      <c r="L2024" s="190"/>
      <c r="M2024" s="191"/>
      <c r="N2024" s="172"/>
      <c r="O2024" s="172"/>
      <c r="P2024" s="172"/>
      <c r="Q2024" s="172"/>
    </row>
    <row r="2025" spans="6:17" s="170" customFormat="1" x14ac:dyDescent="0.2">
      <c r="F2025" s="187"/>
      <c r="G2025" s="187"/>
      <c r="H2025" s="188"/>
      <c r="I2025" s="189"/>
      <c r="J2025" s="190"/>
      <c r="K2025" s="190"/>
      <c r="L2025" s="190"/>
      <c r="M2025" s="191"/>
      <c r="N2025" s="172"/>
      <c r="O2025" s="172"/>
      <c r="P2025" s="172"/>
      <c r="Q2025" s="172"/>
    </row>
    <row r="2026" spans="6:17" s="170" customFormat="1" x14ac:dyDescent="0.2">
      <c r="F2026" s="187"/>
      <c r="G2026" s="187"/>
      <c r="H2026" s="188"/>
      <c r="I2026" s="189"/>
      <c r="J2026" s="190"/>
      <c r="K2026" s="190"/>
      <c r="L2026" s="190"/>
      <c r="M2026" s="191"/>
      <c r="N2026" s="172"/>
      <c r="O2026" s="172"/>
      <c r="P2026" s="172"/>
      <c r="Q2026" s="172"/>
    </row>
    <row r="2027" spans="6:17" s="170" customFormat="1" x14ac:dyDescent="0.2">
      <c r="F2027" s="187"/>
      <c r="G2027" s="187"/>
      <c r="H2027" s="188"/>
      <c r="I2027" s="189"/>
      <c r="J2027" s="190"/>
      <c r="K2027" s="190"/>
      <c r="L2027" s="190"/>
      <c r="M2027" s="191"/>
      <c r="N2027" s="172"/>
      <c r="O2027" s="172"/>
      <c r="P2027" s="172"/>
      <c r="Q2027" s="172"/>
    </row>
    <row r="2028" spans="6:17" s="170" customFormat="1" x14ac:dyDescent="0.2">
      <c r="F2028" s="187"/>
      <c r="G2028" s="187"/>
      <c r="H2028" s="188"/>
      <c r="I2028" s="189"/>
      <c r="J2028" s="190"/>
      <c r="K2028" s="190"/>
      <c r="L2028" s="190"/>
      <c r="M2028" s="191"/>
      <c r="N2028" s="172"/>
      <c r="O2028" s="172"/>
      <c r="P2028" s="172"/>
      <c r="Q2028" s="172"/>
    </row>
    <row r="2029" spans="6:17" s="170" customFormat="1" x14ac:dyDescent="0.2">
      <c r="F2029" s="187"/>
      <c r="G2029" s="187"/>
      <c r="H2029" s="188"/>
      <c r="I2029" s="189"/>
      <c r="J2029" s="190"/>
      <c r="K2029" s="190"/>
      <c r="L2029" s="190"/>
      <c r="M2029" s="191"/>
      <c r="N2029" s="172"/>
      <c r="O2029" s="172"/>
      <c r="P2029" s="172"/>
      <c r="Q2029" s="172"/>
    </row>
    <row r="2030" spans="6:17" s="170" customFormat="1" x14ac:dyDescent="0.2">
      <c r="F2030" s="187"/>
      <c r="G2030" s="187"/>
      <c r="H2030" s="188"/>
      <c r="I2030" s="189"/>
      <c r="J2030" s="190"/>
      <c r="K2030" s="190"/>
      <c r="L2030" s="190"/>
      <c r="M2030" s="191"/>
      <c r="N2030" s="172"/>
      <c r="O2030" s="172"/>
      <c r="P2030" s="172"/>
      <c r="Q2030" s="172"/>
    </row>
    <row r="2031" spans="6:17" s="170" customFormat="1" x14ac:dyDescent="0.2">
      <c r="F2031" s="187"/>
      <c r="G2031" s="187"/>
      <c r="H2031" s="188"/>
      <c r="I2031" s="189"/>
      <c r="J2031" s="190"/>
      <c r="K2031" s="190"/>
      <c r="L2031" s="190"/>
      <c r="M2031" s="191"/>
      <c r="N2031" s="172"/>
      <c r="O2031" s="172"/>
      <c r="P2031" s="172"/>
      <c r="Q2031" s="172"/>
    </row>
    <row r="2032" spans="6:17" s="170" customFormat="1" x14ac:dyDescent="0.2">
      <c r="F2032" s="187"/>
      <c r="G2032" s="187"/>
      <c r="H2032" s="188"/>
      <c r="I2032" s="189"/>
      <c r="J2032" s="190"/>
      <c r="K2032" s="190"/>
      <c r="L2032" s="190"/>
      <c r="M2032" s="191"/>
      <c r="N2032" s="172"/>
      <c r="O2032" s="172"/>
      <c r="P2032" s="172"/>
      <c r="Q2032" s="172"/>
    </row>
    <row r="2033" spans="6:17" s="170" customFormat="1" x14ac:dyDescent="0.2">
      <c r="F2033" s="187"/>
      <c r="G2033" s="187"/>
      <c r="H2033" s="188"/>
      <c r="I2033" s="189"/>
      <c r="J2033" s="190"/>
      <c r="K2033" s="190"/>
      <c r="L2033" s="190"/>
      <c r="M2033" s="191"/>
      <c r="N2033" s="172"/>
      <c r="O2033" s="172"/>
      <c r="P2033" s="172"/>
      <c r="Q2033" s="172"/>
    </row>
    <row r="2034" spans="6:17" s="170" customFormat="1" x14ac:dyDescent="0.2">
      <c r="F2034" s="187"/>
      <c r="G2034" s="187"/>
      <c r="H2034" s="188"/>
      <c r="I2034" s="189"/>
      <c r="J2034" s="190"/>
      <c r="K2034" s="190"/>
      <c r="L2034" s="190"/>
      <c r="M2034" s="191"/>
      <c r="N2034" s="172"/>
      <c r="O2034" s="172"/>
      <c r="P2034" s="172"/>
      <c r="Q2034" s="172"/>
    </row>
    <row r="2035" spans="6:17" s="170" customFormat="1" x14ac:dyDescent="0.2">
      <c r="F2035" s="187"/>
      <c r="G2035" s="187"/>
      <c r="H2035" s="188"/>
      <c r="I2035" s="189"/>
      <c r="J2035" s="190"/>
      <c r="K2035" s="190"/>
      <c r="L2035" s="190"/>
      <c r="M2035" s="191"/>
      <c r="N2035" s="172"/>
      <c r="O2035" s="172"/>
      <c r="P2035" s="172"/>
      <c r="Q2035" s="172"/>
    </row>
    <row r="2036" spans="6:17" s="170" customFormat="1" x14ac:dyDescent="0.2">
      <c r="F2036" s="187"/>
      <c r="G2036" s="187"/>
      <c r="H2036" s="188"/>
      <c r="I2036" s="189"/>
      <c r="J2036" s="190"/>
      <c r="K2036" s="190"/>
      <c r="L2036" s="190"/>
      <c r="M2036" s="191"/>
      <c r="N2036" s="172"/>
      <c r="O2036" s="172"/>
      <c r="P2036" s="172"/>
      <c r="Q2036" s="172"/>
    </row>
    <row r="2037" spans="6:17" s="170" customFormat="1" x14ac:dyDescent="0.2">
      <c r="F2037" s="187"/>
      <c r="G2037" s="187"/>
      <c r="H2037" s="188"/>
      <c r="I2037" s="189"/>
      <c r="J2037" s="190"/>
      <c r="K2037" s="190"/>
      <c r="L2037" s="190"/>
      <c r="M2037" s="191"/>
      <c r="N2037" s="172"/>
      <c r="O2037" s="172"/>
      <c r="P2037" s="172"/>
      <c r="Q2037" s="172"/>
    </row>
    <row r="2038" spans="6:17" s="170" customFormat="1" x14ac:dyDescent="0.2">
      <c r="F2038" s="187"/>
      <c r="G2038" s="187"/>
      <c r="H2038" s="188"/>
      <c r="I2038" s="189"/>
      <c r="J2038" s="190"/>
      <c r="K2038" s="190"/>
      <c r="L2038" s="190"/>
      <c r="M2038" s="191"/>
      <c r="N2038" s="172"/>
      <c r="O2038" s="172"/>
      <c r="P2038" s="172"/>
      <c r="Q2038" s="172"/>
    </row>
    <row r="2039" spans="6:17" s="170" customFormat="1" x14ac:dyDescent="0.2">
      <c r="F2039" s="187"/>
      <c r="G2039" s="187"/>
      <c r="H2039" s="188"/>
      <c r="I2039" s="189"/>
      <c r="J2039" s="190"/>
      <c r="K2039" s="190"/>
      <c r="L2039" s="190"/>
      <c r="M2039" s="191"/>
      <c r="N2039" s="172"/>
      <c r="O2039" s="172"/>
      <c r="P2039" s="172"/>
      <c r="Q2039" s="172"/>
    </row>
    <row r="2040" spans="6:17" s="170" customFormat="1" x14ac:dyDescent="0.2">
      <c r="F2040" s="187"/>
      <c r="G2040" s="187"/>
      <c r="H2040" s="188"/>
      <c r="I2040" s="189"/>
      <c r="J2040" s="190"/>
      <c r="K2040" s="190"/>
      <c r="L2040" s="190"/>
      <c r="M2040" s="191"/>
      <c r="N2040" s="172"/>
      <c r="O2040" s="172"/>
      <c r="P2040" s="172"/>
      <c r="Q2040" s="172"/>
    </row>
    <row r="2041" spans="6:17" s="170" customFormat="1" x14ac:dyDescent="0.2">
      <c r="F2041" s="187"/>
      <c r="G2041" s="187"/>
      <c r="H2041" s="188"/>
      <c r="I2041" s="189"/>
      <c r="J2041" s="190"/>
      <c r="K2041" s="190"/>
      <c r="L2041" s="190"/>
      <c r="M2041" s="191"/>
      <c r="N2041" s="172"/>
      <c r="O2041" s="172"/>
      <c r="P2041" s="172"/>
      <c r="Q2041" s="172"/>
    </row>
    <row r="2042" spans="6:17" s="170" customFormat="1" x14ac:dyDescent="0.2">
      <c r="F2042" s="187"/>
      <c r="G2042" s="187"/>
      <c r="H2042" s="188"/>
      <c r="I2042" s="189"/>
      <c r="J2042" s="190"/>
      <c r="K2042" s="190"/>
      <c r="L2042" s="190"/>
      <c r="M2042" s="191"/>
      <c r="N2042" s="172"/>
      <c r="O2042" s="172"/>
      <c r="P2042" s="172"/>
      <c r="Q2042" s="172"/>
    </row>
    <row r="2043" spans="6:17" s="170" customFormat="1" x14ac:dyDescent="0.2">
      <c r="F2043" s="187"/>
      <c r="G2043" s="187"/>
      <c r="H2043" s="188"/>
      <c r="I2043" s="189"/>
      <c r="J2043" s="190"/>
      <c r="K2043" s="190"/>
      <c r="L2043" s="190"/>
      <c r="M2043" s="191"/>
      <c r="N2043" s="172"/>
      <c r="O2043" s="172"/>
      <c r="P2043" s="172"/>
      <c r="Q2043" s="172"/>
    </row>
    <row r="2044" spans="6:17" s="170" customFormat="1" x14ac:dyDescent="0.2">
      <c r="F2044" s="187"/>
      <c r="G2044" s="187"/>
      <c r="H2044" s="188"/>
      <c r="I2044" s="189"/>
      <c r="J2044" s="190"/>
      <c r="K2044" s="190"/>
      <c r="L2044" s="190"/>
      <c r="M2044" s="191"/>
      <c r="N2044" s="172"/>
      <c r="O2044" s="172"/>
      <c r="P2044" s="172"/>
      <c r="Q2044" s="172"/>
    </row>
    <row r="2045" spans="6:17" s="170" customFormat="1" x14ac:dyDescent="0.2">
      <c r="F2045" s="187"/>
      <c r="G2045" s="187"/>
      <c r="H2045" s="188"/>
      <c r="I2045" s="189"/>
      <c r="J2045" s="190"/>
      <c r="K2045" s="190"/>
      <c r="L2045" s="190"/>
      <c r="M2045" s="191"/>
      <c r="N2045" s="172"/>
      <c r="O2045" s="172"/>
      <c r="P2045" s="172"/>
      <c r="Q2045" s="172"/>
    </row>
    <row r="2046" spans="6:17" s="170" customFormat="1" x14ac:dyDescent="0.2">
      <c r="F2046" s="187"/>
      <c r="G2046" s="187"/>
      <c r="H2046" s="188"/>
      <c r="I2046" s="189"/>
      <c r="J2046" s="190"/>
      <c r="K2046" s="190"/>
      <c r="L2046" s="190"/>
      <c r="M2046" s="191"/>
      <c r="N2046" s="172"/>
      <c r="O2046" s="172"/>
      <c r="P2046" s="172"/>
      <c r="Q2046" s="172"/>
    </row>
    <row r="2047" spans="6:17" s="170" customFormat="1" x14ac:dyDescent="0.2">
      <c r="F2047" s="187"/>
      <c r="G2047" s="187"/>
      <c r="H2047" s="188"/>
      <c r="I2047" s="189"/>
      <c r="J2047" s="190"/>
      <c r="K2047" s="190"/>
      <c r="L2047" s="190"/>
      <c r="M2047" s="191"/>
      <c r="N2047" s="172"/>
      <c r="O2047" s="172"/>
      <c r="P2047" s="172"/>
      <c r="Q2047" s="172"/>
    </row>
    <row r="2048" spans="6:17" s="170" customFormat="1" x14ac:dyDescent="0.2">
      <c r="F2048" s="187"/>
      <c r="G2048" s="187"/>
      <c r="H2048" s="188"/>
      <c r="I2048" s="189"/>
      <c r="J2048" s="190"/>
      <c r="K2048" s="190"/>
      <c r="L2048" s="190"/>
      <c r="M2048" s="191"/>
      <c r="N2048" s="172"/>
      <c r="O2048" s="172"/>
      <c r="P2048" s="172"/>
      <c r="Q2048" s="172"/>
    </row>
    <row r="2049" spans="6:17" s="170" customFormat="1" x14ac:dyDescent="0.2">
      <c r="F2049" s="187"/>
      <c r="G2049" s="187"/>
      <c r="H2049" s="188"/>
      <c r="I2049" s="189"/>
      <c r="J2049" s="190"/>
      <c r="K2049" s="190"/>
      <c r="L2049" s="190"/>
      <c r="M2049" s="191"/>
      <c r="N2049" s="172"/>
      <c r="O2049" s="172"/>
      <c r="P2049" s="172"/>
      <c r="Q2049" s="172"/>
    </row>
    <row r="2050" spans="6:17" s="170" customFormat="1" x14ac:dyDescent="0.2">
      <c r="F2050" s="187"/>
      <c r="G2050" s="187"/>
      <c r="H2050" s="188"/>
      <c r="I2050" s="189"/>
      <c r="J2050" s="190"/>
      <c r="K2050" s="190"/>
      <c r="L2050" s="190"/>
      <c r="M2050" s="191"/>
      <c r="N2050" s="172"/>
      <c r="O2050" s="172"/>
      <c r="P2050" s="172"/>
      <c r="Q2050" s="172"/>
    </row>
    <row r="2051" spans="6:17" s="170" customFormat="1" x14ac:dyDescent="0.2">
      <c r="F2051" s="187"/>
      <c r="G2051" s="187"/>
      <c r="H2051" s="188"/>
      <c r="I2051" s="189"/>
      <c r="J2051" s="190"/>
      <c r="K2051" s="190"/>
      <c r="L2051" s="190"/>
      <c r="M2051" s="191"/>
      <c r="N2051" s="172"/>
      <c r="O2051" s="172"/>
      <c r="P2051" s="172"/>
      <c r="Q2051" s="172"/>
    </row>
    <row r="2052" spans="6:17" s="170" customFormat="1" x14ac:dyDescent="0.2">
      <c r="F2052" s="187"/>
      <c r="G2052" s="187"/>
      <c r="H2052" s="188"/>
      <c r="I2052" s="189"/>
      <c r="J2052" s="190"/>
      <c r="K2052" s="190"/>
      <c r="L2052" s="190"/>
      <c r="M2052" s="191"/>
      <c r="N2052" s="172"/>
      <c r="O2052" s="172"/>
      <c r="P2052" s="172"/>
      <c r="Q2052" s="172"/>
    </row>
    <row r="2053" spans="6:17" s="170" customFormat="1" x14ac:dyDescent="0.2">
      <c r="F2053" s="187"/>
      <c r="G2053" s="187"/>
      <c r="H2053" s="188"/>
      <c r="I2053" s="189"/>
      <c r="J2053" s="190"/>
      <c r="K2053" s="190"/>
      <c r="L2053" s="190"/>
      <c r="M2053" s="191"/>
      <c r="N2053" s="172"/>
      <c r="O2053" s="172"/>
      <c r="P2053" s="172"/>
      <c r="Q2053" s="172"/>
    </row>
    <row r="2054" spans="6:17" s="170" customFormat="1" x14ac:dyDescent="0.2">
      <c r="F2054" s="187"/>
      <c r="G2054" s="187"/>
      <c r="H2054" s="188"/>
      <c r="I2054" s="189"/>
      <c r="J2054" s="190"/>
      <c r="K2054" s="190"/>
      <c r="L2054" s="190"/>
      <c r="M2054" s="191"/>
      <c r="N2054" s="172"/>
      <c r="O2054" s="172"/>
      <c r="P2054" s="172"/>
      <c r="Q2054" s="172"/>
    </row>
    <row r="2055" spans="6:17" s="170" customFormat="1" x14ac:dyDescent="0.2">
      <c r="F2055" s="187"/>
      <c r="G2055" s="187"/>
      <c r="H2055" s="188"/>
      <c r="I2055" s="189"/>
      <c r="J2055" s="190"/>
      <c r="K2055" s="190"/>
      <c r="L2055" s="190"/>
      <c r="M2055" s="191"/>
      <c r="N2055" s="172"/>
      <c r="O2055" s="172"/>
      <c r="P2055" s="172"/>
      <c r="Q2055" s="172"/>
    </row>
    <row r="2056" spans="6:17" s="170" customFormat="1" x14ac:dyDescent="0.2">
      <c r="F2056" s="187"/>
      <c r="G2056" s="187"/>
      <c r="H2056" s="188"/>
      <c r="I2056" s="189"/>
      <c r="J2056" s="190"/>
      <c r="K2056" s="190"/>
      <c r="L2056" s="190"/>
      <c r="M2056" s="191"/>
      <c r="N2056" s="172"/>
      <c r="O2056" s="172"/>
      <c r="P2056" s="172"/>
      <c r="Q2056" s="172"/>
    </row>
    <row r="2057" spans="6:17" s="170" customFormat="1" x14ac:dyDescent="0.2">
      <c r="F2057" s="187"/>
      <c r="G2057" s="187"/>
      <c r="H2057" s="188"/>
      <c r="I2057" s="189"/>
      <c r="J2057" s="190"/>
      <c r="K2057" s="190"/>
      <c r="L2057" s="190"/>
      <c r="M2057" s="191"/>
      <c r="N2057" s="172"/>
      <c r="O2057" s="172"/>
      <c r="P2057" s="172"/>
      <c r="Q2057" s="172"/>
    </row>
    <row r="2058" spans="6:17" s="170" customFormat="1" x14ac:dyDescent="0.2">
      <c r="F2058" s="187"/>
      <c r="G2058" s="187"/>
      <c r="H2058" s="188"/>
      <c r="I2058" s="189"/>
      <c r="J2058" s="190"/>
      <c r="K2058" s="190"/>
      <c r="L2058" s="190"/>
      <c r="M2058" s="191"/>
      <c r="N2058" s="172"/>
      <c r="O2058" s="172"/>
      <c r="P2058" s="172"/>
      <c r="Q2058" s="172"/>
    </row>
    <row r="2059" spans="6:17" s="170" customFormat="1" x14ac:dyDescent="0.2">
      <c r="F2059" s="187"/>
      <c r="G2059" s="187"/>
      <c r="H2059" s="188"/>
      <c r="I2059" s="189"/>
      <c r="J2059" s="190"/>
      <c r="K2059" s="190"/>
      <c r="L2059" s="190"/>
      <c r="M2059" s="191"/>
      <c r="N2059" s="172"/>
      <c r="O2059" s="172"/>
      <c r="P2059" s="172"/>
      <c r="Q2059" s="172"/>
    </row>
    <row r="2060" spans="6:17" s="170" customFormat="1" x14ac:dyDescent="0.2">
      <c r="F2060" s="187"/>
      <c r="G2060" s="187"/>
      <c r="H2060" s="188"/>
      <c r="I2060" s="189"/>
      <c r="J2060" s="190"/>
      <c r="K2060" s="190"/>
      <c r="L2060" s="190"/>
      <c r="M2060" s="191"/>
      <c r="N2060" s="172"/>
      <c r="O2060" s="172"/>
      <c r="P2060" s="172"/>
      <c r="Q2060" s="172"/>
    </row>
    <row r="2061" spans="6:17" s="170" customFormat="1" x14ac:dyDescent="0.2">
      <c r="F2061" s="187"/>
      <c r="G2061" s="187"/>
      <c r="H2061" s="188"/>
      <c r="I2061" s="189"/>
      <c r="J2061" s="190"/>
      <c r="K2061" s="190"/>
      <c r="L2061" s="190"/>
      <c r="M2061" s="191"/>
      <c r="N2061" s="172"/>
      <c r="O2061" s="172"/>
      <c r="P2061" s="172"/>
      <c r="Q2061" s="172"/>
    </row>
    <row r="2062" spans="6:17" s="170" customFormat="1" x14ac:dyDescent="0.2">
      <c r="F2062" s="187"/>
      <c r="G2062" s="187"/>
      <c r="H2062" s="188"/>
      <c r="I2062" s="189"/>
      <c r="J2062" s="190"/>
      <c r="K2062" s="190"/>
      <c r="L2062" s="190"/>
      <c r="M2062" s="191"/>
      <c r="N2062" s="172"/>
      <c r="O2062" s="172"/>
      <c r="P2062" s="172"/>
      <c r="Q2062" s="172"/>
    </row>
    <row r="2063" spans="6:17" s="170" customFormat="1" x14ac:dyDescent="0.2">
      <c r="F2063" s="187"/>
      <c r="G2063" s="187"/>
      <c r="H2063" s="188"/>
      <c r="I2063" s="189"/>
      <c r="J2063" s="190"/>
      <c r="K2063" s="190"/>
      <c r="L2063" s="190"/>
      <c r="M2063" s="191"/>
      <c r="N2063" s="172"/>
      <c r="O2063" s="172"/>
      <c r="P2063" s="172"/>
      <c r="Q2063" s="172"/>
    </row>
    <row r="2064" spans="6:17" s="170" customFormat="1" x14ac:dyDescent="0.2">
      <c r="F2064" s="187"/>
      <c r="G2064" s="187"/>
      <c r="H2064" s="188"/>
      <c r="I2064" s="189"/>
      <c r="J2064" s="190"/>
      <c r="K2064" s="190"/>
      <c r="L2064" s="190"/>
      <c r="M2064" s="191"/>
      <c r="N2064" s="172"/>
      <c r="O2064" s="172"/>
      <c r="P2064" s="172"/>
      <c r="Q2064" s="172"/>
    </row>
    <row r="2065" spans="6:17" s="170" customFormat="1" x14ac:dyDescent="0.2">
      <c r="F2065" s="187"/>
      <c r="G2065" s="187"/>
      <c r="H2065" s="188"/>
      <c r="I2065" s="189"/>
      <c r="J2065" s="190"/>
      <c r="K2065" s="190"/>
      <c r="L2065" s="190"/>
      <c r="M2065" s="191"/>
      <c r="N2065" s="172"/>
      <c r="O2065" s="172"/>
      <c r="P2065" s="172"/>
      <c r="Q2065" s="172"/>
    </row>
    <row r="2066" spans="6:17" s="170" customFormat="1" x14ac:dyDescent="0.2">
      <c r="F2066" s="187"/>
      <c r="G2066" s="187"/>
      <c r="H2066" s="188"/>
      <c r="I2066" s="189"/>
      <c r="J2066" s="190"/>
      <c r="K2066" s="190"/>
      <c r="L2066" s="190"/>
      <c r="M2066" s="191"/>
      <c r="N2066" s="172"/>
      <c r="O2066" s="172"/>
      <c r="P2066" s="172"/>
      <c r="Q2066" s="172"/>
    </row>
    <row r="2067" spans="6:17" s="170" customFormat="1" x14ac:dyDescent="0.2">
      <c r="F2067" s="187"/>
      <c r="G2067" s="187"/>
      <c r="H2067" s="188"/>
      <c r="I2067" s="189"/>
      <c r="J2067" s="190"/>
      <c r="K2067" s="190"/>
      <c r="L2067" s="190"/>
      <c r="M2067" s="191"/>
      <c r="N2067" s="172"/>
      <c r="O2067" s="172"/>
      <c r="P2067" s="172"/>
      <c r="Q2067" s="172"/>
    </row>
    <row r="2068" spans="6:17" s="170" customFormat="1" x14ac:dyDescent="0.2">
      <c r="F2068" s="187"/>
      <c r="G2068" s="187"/>
      <c r="H2068" s="188"/>
      <c r="I2068" s="189"/>
      <c r="J2068" s="190"/>
      <c r="K2068" s="190"/>
      <c r="L2068" s="190"/>
      <c r="M2068" s="191"/>
      <c r="N2068" s="172"/>
      <c r="O2068" s="172"/>
      <c r="P2068" s="172"/>
      <c r="Q2068" s="172"/>
    </row>
    <row r="2069" spans="6:17" s="170" customFormat="1" x14ac:dyDescent="0.2">
      <c r="F2069" s="187"/>
      <c r="G2069" s="187"/>
      <c r="H2069" s="188"/>
      <c r="I2069" s="189"/>
      <c r="J2069" s="190"/>
      <c r="K2069" s="190"/>
      <c r="L2069" s="190"/>
      <c r="M2069" s="191"/>
      <c r="N2069" s="172"/>
      <c r="O2069" s="172"/>
      <c r="P2069" s="172"/>
      <c r="Q2069" s="172"/>
    </row>
    <row r="2070" spans="6:17" s="170" customFormat="1" x14ac:dyDescent="0.2">
      <c r="F2070" s="187"/>
      <c r="G2070" s="187"/>
      <c r="H2070" s="188"/>
      <c r="I2070" s="189"/>
      <c r="J2070" s="190"/>
      <c r="K2070" s="190"/>
      <c r="L2070" s="190"/>
      <c r="M2070" s="191"/>
      <c r="N2070" s="172"/>
      <c r="O2070" s="172"/>
      <c r="P2070" s="172"/>
      <c r="Q2070" s="172"/>
    </row>
    <row r="2071" spans="6:17" s="170" customFormat="1" x14ac:dyDescent="0.2">
      <c r="F2071" s="187"/>
      <c r="G2071" s="187"/>
      <c r="H2071" s="188"/>
      <c r="I2071" s="189"/>
      <c r="J2071" s="190"/>
      <c r="K2071" s="190"/>
      <c r="L2071" s="190"/>
      <c r="M2071" s="191"/>
      <c r="N2071" s="172"/>
      <c r="O2071" s="172"/>
      <c r="P2071" s="172"/>
      <c r="Q2071" s="172"/>
    </row>
    <row r="2072" spans="6:17" s="170" customFormat="1" x14ac:dyDescent="0.2">
      <c r="F2072" s="187"/>
      <c r="G2072" s="187"/>
      <c r="H2072" s="188"/>
      <c r="I2072" s="189"/>
      <c r="J2072" s="190"/>
      <c r="K2072" s="190"/>
      <c r="L2072" s="190"/>
      <c r="M2072" s="191"/>
      <c r="N2072" s="172"/>
      <c r="O2072" s="172"/>
      <c r="P2072" s="172"/>
      <c r="Q2072" s="172"/>
    </row>
    <row r="2073" spans="6:17" s="170" customFormat="1" x14ac:dyDescent="0.2">
      <c r="F2073" s="187"/>
      <c r="G2073" s="187"/>
      <c r="H2073" s="188"/>
      <c r="I2073" s="189"/>
      <c r="J2073" s="190"/>
      <c r="K2073" s="190"/>
      <c r="L2073" s="190"/>
      <c r="M2073" s="191"/>
      <c r="N2073" s="172"/>
      <c r="O2073" s="172"/>
      <c r="P2073" s="172"/>
      <c r="Q2073" s="172"/>
    </row>
    <row r="2074" spans="6:17" s="170" customFormat="1" x14ac:dyDescent="0.2">
      <c r="F2074" s="187"/>
      <c r="G2074" s="187"/>
      <c r="H2074" s="188"/>
      <c r="I2074" s="189"/>
      <c r="J2074" s="190"/>
      <c r="K2074" s="190"/>
      <c r="L2074" s="190"/>
      <c r="M2074" s="191"/>
      <c r="N2074" s="172"/>
      <c r="O2074" s="172"/>
      <c r="P2074" s="172"/>
      <c r="Q2074" s="172"/>
    </row>
    <row r="2075" spans="6:17" s="170" customFormat="1" x14ac:dyDescent="0.2">
      <c r="F2075" s="187"/>
      <c r="G2075" s="187"/>
      <c r="H2075" s="188"/>
      <c r="I2075" s="189"/>
      <c r="J2075" s="190"/>
      <c r="K2075" s="190"/>
      <c r="L2075" s="190"/>
      <c r="M2075" s="191"/>
      <c r="N2075" s="172"/>
      <c r="O2075" s="172"/>
      <c r="P2075" s="172"/>
      <c r="Q2075" s="172"/>
    </row>
    <row r="2076" spans="6:17" s="170" customFormat="1" x14ac:dyDescent="0.2">
      <c r="F2076" s="187"/>
      <c r="G2076" s="187"/>
      <c r="H2076" s="188"/>
      <c r="I2076" s="189"/>
      <c r="J2076" s="190"/>
      <c r="K2076" s="190"/>
      <c r="L2076" s="190"/>
      <c r="M2076" s="191"/>
      <c r="N2076" s="172"/>
      <c r="O2076" s="172"/>
      <c r="P2076" s="172"/>
      <c r="Q2076" s="172"/>
    </row>
    <row r="2077" spans="6:17" s="170" customFormat="1" x14ac:dyDescent="0.2">
      <c r="F2077" s="187"/>
      <c r="G2077" s="187"/>
      <c r="H2077" s="188"/>
      <c r="I2077" s="189"/>
      <c r="J2077" s="190"/>
      <c r="K2077" s="190"/>
      <c r="L2077" s="190"/>
      <c r="M2077" s="191"/>
      <c r="N2077" s="172"/>
      <c r="O2077" s="172"/>
      <c r="P2077" s="172"/>
      <c r="Q2077" s="172"/>
    </row>
    <row r="2078" spans="6:17" s="170" customFormat="1" x14ac:dyDescent="0.2">
      <c r="F2078" s="187"/>
      <c r="G2078" s="187"/>
      <c r="H2078" s="188"/>
      <c r="I2078" s="189"/>
      <c r="J2078" s="190"/>
      <c r="K2078" s="190"/>
      <c r="L2078" s="190"/>
      <c r="M2078" s="191"/>
      <c r="N2078" s="172"/>
      <c r="O2078" s="172"/>
      <c r="P2078" s="172"/>
      <c r="Q2078" s="172"/>
    </row>
    <row r="2079" spans="6:17" s="170" customFormat="1" x14ac:dyDescent="0.2">
      <c r="F2079" s="187"/>
      <c r="G2079" s="187"/>
      <c r="H2079" s="188"/>
      <c r="I2079" s="189"/>
      <c r="J2079" s="190"/>
      <c r="K2079" s="190"/>
      <c r="L2079" s="190"/>
      <c r="M2079" s="191"/>
      <c r="N2079" s="172"/>
      <c r="O2079" s="172"/>
      <c r="P2079" s="172"/>
      <c r="Q2079" s="172"/>
    </row>
    <row r="2080" spans="6:17" s="170" customFormat="1" x14ac:dyDescent="0.2">
      <c r="F2080" s="187"/>
      <c r="G2080" s="187"/>
      <c r="H2080" s="188"/>
      <c r="I2080" s="189"/>
      <c r="J2080" s="190"/>
      <c r="K2080" s="190"/>
      <c r="L2080" s="190"/>
      <c r="M2080" s="191"/>
      <c r="N2080" s="172"/>
      <c r="O2080" s="172"/>
      <c r="P2080" s="172"/>
      <c r="Q2080" s="172"/>
    </row>
    <row r="2081" spans="6:17" s="170" customFormat="1" x14ac:dyDescent="0.2">
      <c r="F2081" s="187"/>
      <c r="G2081" s="187"/>
      <c r="H2081" s="188"/>
      <c r="I2081" s="189"/>
      <c r="J2081" s="190"/>
      <c r="K2081" s="190"/>
      <c r="L2081" s="190"/>
      <c r="M2081" s="191"/>
      <c r="N2081" s="172"/>
      <c r="O2081" s="172"/>
      <c r="P2081" s="172"/>
      <c r="Q2081" s="172"/>
    </row>
    <row r="2082" spans="6:17" s="170" customFormat="1" x14ac:dyDescent="0.2">
      <c r="F2082" s="187"/>
      <c r="G2082" s="187"/>
      <c r="H2082" s="188"/>
      <c r="I2082" s="189"/>
      <c r="J2082" s="190"/>
      <c r="K2082" s="190"/>
      <c r="L2082" s="190"/>
      <c r="M2082" s="191"/>
      <c r="N2082" s="172"/>
      <c r="O2082" s="172"/>
      <c r="P2082" s="172"/>
      <c r="Q2082" s="172"/>
    </row>
    <row r="2083" spans="6:17" s="170" customFormat="1" x14ac:dyDescent="0.2">
      <c r="F2083" s="187"/>
      <c r="G2083" s="187"/>
      <c r="H2083" s="188"/>
      <c r="I2083" s="189"/>
      <c r="J2083" s="190"/>
      <c r="K2083" s="190"/>
      <c r="L2083" s="190"/>
      <c r="M2083" s="191"/>
      <c r="N2083" s="172"/>
      <c r="O2083" s="172"/>
      <c r="P2083" s="172"/>
      <c r="Q2083" s="172"/>
    </row>
    <row r="2084" spans="6:17" s="170" customFormat="1" x14ac:dyDescent="0.2">
      <c r="F2084" s="187"/>
      <c r="G2084" s="187"/>
      <c r="H2084" s="188"/>
      <c r="I2084" s="189"/>
      <c r="J2084" s="190"/>
      <c r="K2084" s="190"/>
      <c r="L2084" s="190"/>
      <c r="M2084" s="191"/>
      <c r="N2084" s="172"/>
      <c r="O2084" s="172"/>
      <c r="P2084" s="172"/>
      <c r="Q2084" s="172"/>
    </row>
    <row r="2085" spans="6:17" s="170" customFormat="1" x14ac:dyDescent="0.2">
      <c r="F2085" s="187"/>
      <c r="G2085" s="187"/>
      <c r="H2085" s="188"/>
      <c r="I2085" s="189"/>
      <c r="J2085" s="190"/>
      <c r="K2085" s="190"/>
      <c r="L2085" s="190"/>
      <c r="M2085" s="191"/>
      <c r="N2085" s="172"/>
      <c r="O2085" s="172"/>
      <c r="P2085" s="172"/>
      <c r="Q2085" s="172"/>
    </row>
    <row r="2086" spans="6:17" s="170" customFormat="1" x14ac:dyDescent="0.2">
      <c r="F2086" s="187"/>
      <c r="G2086" s="187"/>
      <c r="H2086" s="188"/>
      <c r="I2086" s="189"/>
      <c r="J2086" s="190"/>
      <c r="K2086" s="190"/>
      <c r="L2086" s="190"/>
      <c r="M2086" s="191"/>
      <c r="N2086" s="172"/>
      <c r="O2086" s="172"/>
      <c r="P2086" s="172"/>
      <c r="Q2086" s="172"/>
    </row>
    <row r="2087" spans="6:17" s="170" customFormat="1" x14ac:dyDescent="0.2">
      <c r="F2087" s="187"/>
      <c r="G2087" s="187"/>
      <c r="H2087" s="188"/>
      <c r="I2087" s="189"/>
      <c r="J2087" s="190"/>
      <c r="K2087" s="190"/>
      <c r="L2087" s="190"/>
      <c r="M2087" s="191"/>
      <c r="N2087" s="172"/>
      <c r="O2087" s="172"/>
      <c r="P2087" s="172"/>
      <c r="Q2087" s="172"/>
    </row>
    <row r="2088" spans="6:17" s="170" customFormat="1" x14ac:dyDescent="0.2">
      <c r="F2088" s="187"/>
      <c r="G2088" s="187"/>
      <c r="H2088" s="188"/>
      <c r="I2088" s="189"/>
      <c r="J2088" s="190"/>
      <c r="K2088" s="190"/>
      <c r="L2088" s="190"/>
      <c r="M2088" s="191"/>
      <c r="N2088" s="172"/>
      <c r="O2088" s="172"/>
      <c r="P2088" s="172"/>
      <c r="Q2088" s="172"/>
    </row>
    <row r="2089" spans="6:17" s="170" customFormat="1" x14ac:dyDescent="0.2">
      <c r="F2089" s="187"/>
      <c r="G2089" s="187"/>
      <c r="H2089" s="188"/>
      <c r="I2089" s="189"/>
      <c r="J2089" s="190"/>
      <c r="K2089" s="190"/>
      <c r="L2089" s="190"/>
      <c r="M2089" s="191"/>
      <c r="N2089" s="172"/>
      <c r="O2089" s="172"/>
      <c r="P2089" s="172"/>
      <c r="Q2089" s="172"/>
    </row>
    <row r="2090" spans="6:17" s="170" customFormat="1" x14ac:dyDescent="0.2">
      <c r="F2090" s="187"/>
      <c r="G2090" s="187"/>
      <c r="H2090" s="188"/>
      <c r="I2090" s="189"/>
      <c r="J2090" s="190"/>
      <c r="K2090" s="190"/>
      <c r="L2090" s="190"/>
      <c r="M2090" s="191"/>
      <c r="N2090" s="172"/>
      <c r="O2090" s="172"/>
      <c r="P2090" s="172"/>
      <c r="Q2090" s="172"/>
    </row>
    <row r="2091" spans="6:17" s="170" customFormat="1" x14ac:dyDescent="0.2">
      <c r="F2091" s="187"/>
      <c r="G2091" s="187"/>
      <c r="H2091" s="188"/>
      <c r="I2091" s="189"/>
      <c r="J2091" s="190"/>
      <c r="K2091" s="190"/>
      <c r="L2091" s="190"/>
      <c r="M2091" s="191"/>
      <c r="N2091" s="172"/>
      <c r="O2091" s="172"/>
      <c r="P2091" s="172"/>
      <c r="Q2091" s="172"/>
    </row>
    <row r="2092" spans="6:17" s="170" customFormat="1" x14ac:dyDescent="0.2">
      <c r="F2092" s="187"/>
      <c r="G2092" s="187"/>
      <c r="H2092" s="188"/>
      <c r="I2092" s="189"/>
      <c r="J2092" s="190"/>
      <c r="K2092" s="190"/>
      <c r="L2092" s="190"/>
      <c r="M2092" s="191"/>
      <c r="N2092" s="172"/>
      <c r="O2092" s="172"/>
      <c r="P2092" s="172"/>
      <c r="Q2092" s="172"/>
    </row>
    <row r="2093" spans="6:17" s="170" customFormat="1" x14ac:dyDescent="0.2">
      <c r="F2093" s="187"/>
      <c r="G2093" s="187"/>
      <c r="H2093" s="188"/>
      <c r="I2093" s="189"/>
      <c r="J2093" s="190"/>
      <c r="K2093" s="190"/>
      <c r="L2093" s="190"/>
      <c r="M2093" s="191"/>
      <c r="N2093" s="172"/>
      <c r="O2093" s="172"/>
      <c r="P2093" s="172"/>
      <c r="Q2093" s="172"/>
    </row>
    <row r="2094" spans="6:17" s="170" customFormat="1" x14ac:dyDescent="0.2">
      <c r="F2094" s="187"/>
      <c r="G2094" s="187"/>
      <c r="H2094" s="188"/>
      <c r="I2094" s="189"/>
      <c r="J2094" s="190"/>
      <c r="K2094" s="190"/>
      <c r="L2094" s="190"/>
      <c r="M2094" s="191"/>
      <c r="N2094" s="172"/>
      <c r="O2094" s="172"/>
      <c r="P2094" s="172"/>
      <c r="Q2094" s="172"/>
    </row>
    <row r="2095" spans="6:17" s="170" customFormat="1" x14ac:dyDescent="0.2">
      <c r="F2095" s="187"/>
      <c r="G2095" s="187"/>
      <c r="H2095" s="188"/>
      <c r="I2095" s="189"/>
      <c r="J2095" s="190"/>
      <c r="K2095" s="190"/>
      <c r="L2095" s="190"/>
      <c r="M2095" s="191"/>
      <c r="N2095" s="172"/>
      <c r="O2095" s="172"/>
      <c r="P2095" s="172"/>
      <c r="Q2095" s="172"/>
    </row>
    <row r="2096" spans="6:17" s="170" customFormat="1" x14ac:dyDescent="0.2">
      <c r="F2096" s="187"/>
      <c r="G2096" s="187"/>
      <c r="H2096" s="188"/>
      <c r="I2096" s="189"/>
      <c r="J2096" s="190"/>
      <c r="K2096" s="190"/>
      <c r="L2096" s="190"/>
      <c r="M2096" s="191"/>
      <c r="N2096" s="172"/>
      <c r="O2096" s="172"/>
      <c r="P2096" s="172"/>
      <c r="Q2096" s="172"/>
    </row>
    <row r="2097" spans="6:17" s="170" customFormat="1" x14ac:dyDescent="0.2">
      <c r="F2097" s="187"/>
      <c r="G2097" s="187"/>
      <c r="H2097" s="188"/>
      <c r="I2097" s="189"/>
      <c r="J2097" s="190"/>
      <c r="K2097" s="190"/>
      <c r="L2097" s="190"/>
      <c r="M2097" s="191"/>
      <c r="N2097" s="172"/>
      <c r="O2097" s="172"/>
      <c r="P2097" s="172"/>
      <c r="Q2097" s="172"/>
    </row>
    <row r="2098" spans="6:17" s="170" customFormat="1" x14ac:dyDescent="0.2">
      <c r="F2098" s="187"/>
      <c r="G2098" s="187"/>
      <c r="H2098" s="188"/>
      <c r="I2098" s="189"/>
      <c r="J2098" s="190"/>
      <c r="K2098" s="190"/>
      <c r="L2098" s="190"/>
      <c r="M2098" s="191"/>
      <c r="N2098" s="172"/>
      <c r="O2098" s="172"/>
      <c r="P2098" s="172"/>
      <c r="Q2098" s="172"/>
    </row>
    <row r="2099" spans="6:17" s="170" customFormat="1" x14ac:dyDescent="0.2">
      <c r="F2099" s="187"/>
      <c r="G2099" s="187"/>
      <c r="H2099" s="188"/>
      <c r="I2099" s="189"/>
      <c r="J2099" s="190"/>
      <c r="K2099" s="190"/>
      <c r="L2099" s="190"/>
      <c r="M2099" s="191"/>
      <c r="N2099" s="172"/>
      <c r="O2099" s="172"/>
      <c r="P2099" s="172"/>
      <c r="Q2099" s="172"/>
    </row>
    <row r="2100" spans="6:17" s="170" customFormat="1" x14ac:dyDescent="0.2">
      <c r="F2100" s="187"/>
      <c r="G2100" s="187"/>
      <c r="H2100" s="188"/>
      <c r="I2100" s="189"/>
      <c r="J2100" s="190"/>
      <c r="K2100" s="190"/>
      <c r="L2100" s="190"/>
      <c r="M2100" s="191"/>
      <c r="N2100" s="172"/>
      <c r="O2100" s="172"/>
      <c r="P2100" s="172"/>
      <c r="Q2100" s="172"/>
    </row>
    <row r="2101" spans="6:17" s="170" customFormat="1" x14ac:dyDescent="0.2">
      <c r="F2101" s="187"/>
      <c r="G2101" s="187"/>
      <c r="H2101" s="188"/>
      <c r="I2101" s="189"/>
      <c r="J2101" s="190"/>
      <c r="K2101" s="190"/>
      <c r="L2101" s="190"/>
      <c r="M2101" s="191"/>
      <c r="N2101" s="172"/>
      <c r="O2101" s="172"/>
      <c r="P2101" s="172"/>
      <c r="Q2101" s="172"/>
    </row>
    <row r="2102" spans="6:17" s="170" customFormat="1" x14ac:dyDescent="0.2">
      <c r="F2102" s="187"/>
      <c r="G2102" s="187"/>
      <c r="H2102" s="188"/>
      <c r="I2102" s="189"/>
      <c r="J2102" s="190"/>
      <c r="K2102" s="190"/>
      <c r="L2102" s="190"/>
      <c r="M2102" s="191"/>
      <c r="N2102" s="172"/>
      <c r="O2102" s="172"/>
      <c r="P2102" s="172"/>
      <c r="Q2102" s="172"/>
    </row>
    <row r="2103" spans="6:17" s="170" customFormat="1" x14ac:dyDescent="0.2">
      <c r="F2103" s="187"/>
      <c r="G2103" s="187"/>
      <c r="H2103" s="188"/>
      <c r="I2103" s="189"/>
      <c r="J2103" s="190"/>
      <c r="K2103" s="190"/>
      <c r="L2103" s="190"/>
      <c r="M2103" s="191"/>
      <c r="N2103" s="172"/>
      <c r="O2103" s="172"/>
      <c r="P2103" s="172"/>
      <c r="Q2103" s="172"/>
    </row>
    <row r="2104" spans="6:17" s="170" customFormat="1" x14ac:dyDescent="0.2">
      <c r="F2104" s="187"/>
      <c r="G2104" s="187"/>
      <c r="H2104" s="188"/>
      <c r="I2104" s="189"/>
      <c r="J2104" s="190"/>
      <c r="K2104" s="190"/>
      <c r="L2104" s="190"/>
      <c r="M2104" s="191"/>
      <c r="N2104" s="172"/>
      <c r="O2104" s="172"/>
      <c r="P2104" s="172"/>
      <c r="Q2104" s="172"/>
    </row>
    <row r="2105" spans="6:17" s="170" customFormat="1" x14ac:dyDescent="0.2">
      <c r="F2105" s="187"/>
      <c r="G2105" s="187"/>
      <c r="H2105" s="188"/>
      <c r="I2105" s="189"/>
      <c r="J2105" s="190"/>
      <c r="K2105" s="190"/>
      <c r="L2105" s="190"/>
      <c r="M2105" s="191"/>
      <c r="N2105" s="172"/>
      <c r="O2105" s="172"/>
      <c r="P2105" s="172"/>
      <c r="Q2105" s="172"/>
    </row>
    <row r="2106" spans="6:17" s="170" customFormat="1" x14ac:dyDescent="0.2">
      <c r="F2106" s="187"/>
      <c r="G2106" s="187"/>
      <c r="H2106" s="188"/>
      <c r="I2106" s="189"/>
      <c r="J2106" s="190"/>
      <c r="K2106" s="190"/>
      <c r="L2106" s="190"/>
      <c r="M2106" s="191"/>
      <c r="N2106" s="172"/>
      <c r="O2106" s="172"/>
      <c r="P2106" s="172"/>
      <c r="Q2106" s="172"/>
    </row>
    <row r="2107" spans="6:17" s="170" customFormat="1" x14ac:dyDescent="0.2">
      <c r="F2107" s="187"/>
      <c r="G2107" s="187"/>
      <c r="H2107" s="188"/>
      <c r="I2107" s="189"/>
      <c r="J2107" s="190"/>
      <c r="K2107" s="190"/>
      <c r="L2107" s="190"/>
      <c r="M2107" s="191"/>
      <c r="N2107" s="172"/>
      <c r="O2107" s="172"/>
      <c r="P2107" s="172"/>
      <c r="Q2107" s="172"/>
    </row>
    <row r="2108" spans="6:17" s="170" customFormat="1" x14ac:dyDescent="0.2">
      <c r="F2108" s="187"/>
      <c r="G2108" s="187"/>
      <c r="H2108" s="188"/>
      <c r="I2108" s="189"/>
      <c r="J2108" s="190"/>
      <c r="K2108" s="190"/>
      <c r="L2108" s="190"/>
      <c r="M2108" s="191"/>
      <c r="N2108" s="172"/>
      <c r="O2108" s="172"/>
      <c r="P2108" s="172"/>
      <c r="Q2108" s="172"/>
    </row>
    <row r="2109" spans="6:17" s="170" customFormat="1" x14ac:dyDescent="0.2">
      <c r="F2109" s="187"/>
      <c r="G2109" s="187"/>
      <c r="H2109" s="188"/>
      <c r="I2109" s="189"/>
      <c r="J2109" s="190"/>
      <c r="K2109" s="190"/>
      <c r="L2109" s="190"/>
      <c r="M2109" s="191"/>
      <c r="N2109" s="172"/>
      <c r="O2109" s="172"/>
      <c r="P2109" s="172"/>
      <c r="Q2109" s="172"/>
    </row>
    <row r="2110" spans="6:17" s="170" customFormat="1" x14ac:dyDescent="0.2">
      <c r="F2110" s="187"/>
      <c r="G2110" s="187"/>
      <c r="H2110" s="188"/>
      <c r="I2110" s="189"/>
      <c r="J2110" s="190"/>
      <c r="K2110" s="190"/>
      <c r="L2110" s="190"/>
      <c r="M2110" s="191"/>
      <c r="N2110" s="172"/>
      <c r="O2110" s="172"/>
      <c r="P2110" s="172"/>
      <c r="Q2110" s="172"/>
    </row>
    <row r="2111" spans="6:17" s="170" customFormat="1" x14ac:dyDescent="0.2">
      <c r="F2111" s="187"/>
      <c r="G2111" s="187"/>
      <c r="H2111" s="188"/>
      <c r="I2111" s="189"/>
      <c r="J2111" s="190"/>
      <c r="K2111" s="190"/>
      <c r="L2111" s="190"/>
      <c r="M2111" s="191"/>
      <c r="N2111" s="172"/>
      <c r="O2111" s="172"/>
      <c r="P2111" s="172"/>
      <c r="Q2111" s="172"/>
    </row>
    <row r="2112" spans="6:17" s="170" customFormat="1" x14ac:dyDescent="0.2">
      <c r="F2112" s="187"/>
      <c r="G2112" s="187"/>
      <c r="H2112" s="188"/>
      <c r="I2112" s="189"/>
      <c r="J2112" s="190"/>
      <c r="K2112" s="190"/>
      <c r="L2112" s="190"/>
      <c r="M2112" s="191"/>
      <c r="N2112" s="172"/>
      <c r="O2112" s="172"/>
      <c r="P2112" s="172"/>
      <c r="Q2112" s="172"/>
    </row>
    <row r="2113" spans="6:17" s="170" customFormat="1" x14ac:dyDescent="0.2">
      <c r="F2113" s="187"/>
      <c r="G2113" s="187"/>
      <c r="H2113" s="188"/>
      <c r="I2113" s="189"/>
      <c r="J2113" s="190"/>
      <c r="K2113" s="190"/>
      <c r="L2113" s="190"/>
      <c r="M2113" s="191"/>
      <c r="N2113" s="172"/>
      <c r="O2113" s="172"/>
      <c r="P2113" s="172"/>
      <c r="Q2113" s="172"/>
    </row>
    <row r="2114" spans="6:17" s="170" customFormat="1" x14ac:dyDescent="0.2">
      <c r="F2114" s="187"/>
      <c r="G2114" s="187"/>
      <c r="H2114" s="188"/>
      <c r="I2114" s="189"/>
      <c r="J2114" s="190"/>
      <c r="K2114" s="190"/>
      <c r="L2114" s="190"/>
      <c r="M2114" s="191"/>
      <c r="N2114" s="172"/>
      <c r="O2114" s="172"/>
      <c r="P2114" s="172"/>
      <c r="Q2114" s="172"/>
    </row>
    <row r="2115" spans="6:17" s="170" customFormat="1" x14ac:dyDescent="0.2">
      <c r="F2115" s="187"/>
      <c r="G2115" s="187"/>
      <c r="H2115" s="188"/>
      <c r="I2115" s="189"/>
      <c r="J2115" s="190"/>
      <c r="K2115" s="190"/>
      <c r="L2115" s="190"/>
      <c r="M2115" s="191"/>
      <c r="N2115" s="172"/>
      <c r="O2115" s="172"/>
      <c r="P2115" s="172"/>
      <c r="Q2115" s="172"/>
    </row>
    <row r="2116" spans="6:17" s="170" customFormat="1" x14ac:dyDescent="0.2">
      <c r="F2116" s="187"/>
      <c r="G2116" s="187"/>
      <c r="H2116" s="188"/>
      <c r="I2116" s="189"/>
      <c r="J2116" s="190"/>
      <c r="K2116" s="190"/>
      <c r="L2116" s="190"/>
      <c r="M2116" s="191"/>
      <c r="N2116" s="172"/>
      <c r="O2116" s="172"/>
      <c r="P2116" s="172"/>
      <c r="Q2116" s="172"/>
    </row>
    <row r="2117" spans="6:17" s="170" customFormat="1" x14ac:dyDescent="0.2">
      <c r="F2117" s="187"/>
      <c r="G2117" s="187"/>
      <c r="H2117" s="188"/>
      <c r="I2117" s="189"/>
      <c r="J2117" s="190"/>
      <c r="K2117" s="190"/>
      <c r="L2117" s="190"/>
      <c r="M2117" s="191"/>
      <c r="N2117" s="172"/>
      <c r="O2117" s="172"/>
      <c r="P2117" s="172"/>
      <c r="Q2117" s="172"/>
    </row>
    <row r="2118" spans="6:17" s="170" customFormat="1" x14ac:dyDescent="0.2">
      <c r="F2118" s="187"/>
      <c r="G2118" s="187"/>
      <c r="H2118" s="188"/>
      <c r="I2118" s="189"/>
      <c r="J2118" s="190"/>
      <c r="K2118" s="190"/>
      <c r="L2118" s="190"/>
      <c r="M2118" s="191"/>
      <c r="N2118" s="172"/>
      <c r="O2118" s="172"/>
      <c r="P2118" s="172"/>
      <c r="Q2118" s="172"/>
    </row>
    <row r="2119" spans="6:17" s="170" customFormat="1" x14ac:dyDescent="0.2">
      <c r="F2119" s="187"/>
      <c r="G2119" s="187"/>
      <c r="H2119" s="188"/>
      <c r="I2119" s="189"/>
      <c r="J2119" s="190"/>
      <c r="K2119" s="190"/>
      <c r="L2119" s="190"/>
      <c r="M2119" s="191"/>
      <c r="N2119" s="172"/>
      <c r="O2119" s="172"/>
      <c r="P2119" s="172"/>
      <c r="Q2119" s="172"/>
    </row>
    <row r="2120" spans="6:17" s="170" customFormat="1" x14ac:dyDescent="0.2">
      <c r="F2120" s="187"/>
      <c r="G2120" s="187"/>
      <c r="H2120" s="188"/>
      <c r="I2120" s="189"/>
      <c r="J2120" s="190"/>
      <c r="K2120" s="190"/>
      <c r="L2120" s="190"/>
      <c r="M2120" s="191"/>
      <c r="N2120" s="172"/>
      <c r="O2120" s="172"/>
      <c r="P2120" s="172"/>
      <c r="Q2120" s="172"/>
    </row>
    <row r="2121" spans="6:17" s="170" customFormat="1" x14ac:dyDescent="0.2">
      <c r="F2121" s="187"/>
      <c r="G2121" s="187"/>
      <c r="H2121" s="188"/>
      <c r="I2121" s="189"/>
      <c r="J2121" s="190"/>
      <c r="K2121" s="190"/>
      <c r="L2121" s="190"/>
      <c r="M2121" s="191"/>
      <c r="N2121" s="172"/>
      <c r="O2121" s="172"/>
      <c r="P2121" s="172"/>
      <c r="Q2121" s="172"/>
    </row>
    <row r="2122" spans="6:17" s="170" customFormat="1" x14ac:dyDescent="0.2">
      <c r="F2122" s="187"/>
      <c r="G2122" s="187"/>
      <c r="H2122" s="188"/>
      <c r="I2122" s="189"/>
      <c r="J2122" s="190"/>
      <c r="K2122" s="190"/>
      <c r="L2122" s="190"/>
      <c r="M2122" s="191"/>
      <c r="N2122" s="172"/>
      <c r="O2122" s="172"/>
      <c r="P2122" s="172"/>
      <c r="Q2122" s="172"/>
    </row>
    <row r="2123" spans="6:17" s="170" customFormat="1" x14ac:dyDescent="0.2">
      <c r="F2123" s="187"/>
      <c r="G2123" s="187"/>
      <c r="H2123" s="188"/>
      <c r="I2123" s="189"/>
      <c r="J2123" s="190"/>
      <c r="K2123" s="190"/>
      <c r="L2123" s="190"/>
      <c r="M2123" s="191"/>
      <c r="N2123" s="172"/>
      <c r="O2123" s="172"/>
      <c r="P2123" s="172"/>
      <c r="Q2123" s="172"/>
    </row>
    <row r="2124" spans="6:17" s="170" customFormat="1" x14ac:dyDescent="0.2">
      <c r="F2124" s="187"/>
      <c r="G2124" s="187"/>
      <c r="H2124" s="188"/>
      <c r="I2124" s="189"/>
      <c r="J2124" s="190"/>
      <c r="K2124" s="190"/>
      <c r="L2124" s="190"/>
      <c r="M2124" s="191"/>
      <c r="N2124" s="172"/>
      <c r="O2124" s="172"/>
      <c r="P2124" s="172"/>
      <c r="Q2124" s="172"/>
    </row>
  </sheetData>
  <dataValidations count="22">
    <dataValidation type="list" allowBlank="1" showInputMessage="1" showErrorMessage="1" promptTitle="select your currency" prompt="Select your currency" sqref="I67:I68 E52 E54">
      <formula1>Currency</formula1>
    </dataValidation>
    <dataValidation allowBlank="1" showInputMessage="1" showErrorMessage="1" errorTitle="Error" error="Invalid entry. please select from the list of currency provided" sqref="N66 M110"/>
    <dataValidation type="list" allowBlank="1" showInputMessage="1" showErrorMessage="1" errorTitle="Error" error="Unit of Measurement entered is not allowed. Please choose one from amongst: Kw or MW or Kwh" promptTitle="Units" prompt="Please select unit of measurements, i.e. Kw or MW or Kwh" sqref="E7">
      <formula1>$M$7:$O$7</formula1>
    </dataValidation>
    <dataValidation type="list" allowBlank="1" showInputMessage="1" showErrorMessage="1" errorTitle="Error" error="The figure entered is outside the range. Please select from the allowed range" promptTitle="Useful life" prompt="Select the plant economic useful life" sqref="D17">
      <formula1>$M$17:$Q$17</formula1>
    </dataValidation>
    <dataValidation type="list" allowBlank="1" showInputMessage="1" showErrorMessage="1" promptTitle="Depreciation Method" prompt="Please select &quot;Yes&quot; or &quot;No&quot; to choose your prefered depreciation method" sqref="D21">
      <formula1>$M$20:$N$20</formula1>
    </dataValidation>
    <dataValidation type="list" allowBlank="1" showInputMessage="1" showErrorMessage="1" errorTitle="Error" error="Entry is out of range. Please select one of the % provided" promptTitle="Degradation Rates per annuam" sqref="M16:Q16">
      <formula1>$M$16:$Q$16</formula1>
    </dataValidation>
    <dataValidation type="list" allowBlank="1" showInputMessage="1" showErrorMessage="1" errorTitle="Error" error="Your entry is out of range. Please select from one of the % provided, i.e. 0%, 0,25%, 0,5%, 0,75% or 1,0%" promptTitle="Plant Annual Degradation Rate" prompt="Please select from the percentages provided, i.e., 0%, 0,25%, 0,5%, 0,75% or 1,0%" sqref="D16">
      <formula1>$M$16:$Q$16</formula1>
    </dataValidation>
    <dataValidation allowBlank="1" showInputMessage="1" showErrorMessage="1" promptTitle="Note" prompt="Capacity Factor is the % representation of the actual production vs. the installed nameplate design capacity annual production of an energy project. " sqref="C8"/>
    <dataValidation type="list" allowBlank="1" showInputMessage="1" showErrorMessage="1" promptTitle="Type of Cost" sqref="G26:G51">
      <formula1>$M$26:$N$26</formula1>
    </dataValidation>
    <dataValidation type="custom" allowBlank="1" showInputMessage="1" showErrorMessage="1" errorTitle="Error" error="No input is required in this cell" promptTitle="Note" prompt="This is a formulaic calculation. No input is required" sqref="D9 D11 D13 D15">
      <formula1>0</formula1>
    </dataValidation>
    <dataValidation type="custom" allowBlank="1" showInputMessage="1" showErrorMessage="1" errorTitle="Error" error="This figure is fixed and therefore cannot be changed" promptTitle="Note" prompt="This value is fixed at 365 days/yr x 24 hrs/day= 8760 hrs per yr" sqref="D14">
      <formula1>0</formula1>
    </dataValidation>
    <dataValidation type="custom" allowBlank="1" showInputMessage="1" showErrorMessage="1" errorTitle="Error" error="Go to the Capital Costs Details tab to enter your inputs" promptTitle="Note" prompt="No entries required" sqref="D65:D68">
      <formula1>0</formula1>
    </dataValidation>
    <dataValidation type="custom" allowBlank="1" showInputMessage="1" showErrorMessage="1" errorTitle="Error" error="Please consult ERC before making any changes" promptTitle="Note" prompt="Allowable amounts restricted due to pre-paid metering" sqref="D72:D73">
      <formula1>0</formula1>
    </dataValidation>
    <dataValidation type="custom" allowBlank="1" showInputMessage="1" showErrorMessage="1" errorTitle="Error" error="No value cannot be entered in this cell. Please enter % of Equity funding" promptTitle="Note" prompt="This cell is a formulaic calculation. No input is required" sqref="D84:D86 E85:E86 H84:H86 G84:G85">
      <formula1>0</formula1>
    </dataValidation>
    <dataValidation type="custom" allowBlank="1" showInputMessage="1" showErrorMessage="1" errorTitle="Error" error="You cannot enter any input into this cell" promptTitle="Note" prompt="This cell is a formulaic calculation. No input required" sqref="F102:G105 D106:G106">
      <formula1>0</formula1>
    </dataValidation>
    <dataValidation type="list" allowBlank="1" showInputMessage="1" showErrorMessage="1" errorTitle="Error Message" error="Please select and use one of the currencies provided_x000a_KES or USD or Euro or GBP" promptTitle="Select your currency" prompt="Select your currency" sqref="I65:I66 E111 E94 E26:E51 I58:I60">
      <formula1>$M$65:$P$65</formula1>
    </dataValidation>
    <dataValidation type="list" showInputMessage="1" showErrorMessage="1" errorTitle="Error Message" error="Please select and use one of the currencies provided_x000a_KES or USD or Euro or GBP" promptTitle="Select your currency" prompt="Select your currency" sqref="E110">
      <formula1>$L$110:$O$110</formula1>
    </dataValidation>
    <dataValidation type="list" allowBlank="1" showInputMessage="1" showErrorMessage="1" errorTitle="Error Message" error="Please select and use one of the currencies provided_x000a_KES or USD or Euro or GBP" promptTitle="Select your currency" prompt="Local currency selected above is used" sqref="E112:E114">
      <formula1>$M$65:$P$65</formula1>
    </dataValidation>
    <dataValidation allowBlank="1" showInputMessage="1" showErrorMessage="1" errorTitle="Error" error="Are you sure you are selling the asset on they year you have entered?" promptTitle="Year of Sale on Grid Arrival " prompt="Enter the year in which you will sell the asset - e.g. enter 5 if you will sell the asset 5 years after commercial operation date, etc" sqref="E65:E67"/>
    <dataValidation allowBlank="1" showInputMessage="1" showErrorMessage="1" errorTitle="Under-Recovered Account Balances" error="Are these amounts approved by ERC?" promptTitle="Under-recovered account balances" prompt="Enter the amount in your ERC approved deferral accounts. Under-recovery balances are ERC-approved amounts for you to recover in future tariffs charged to customers, e.g. depreciation not recovered in early years, FX adjustments. " sqref="F65:F67"/>
    <dataValidation allowBlank="1" showInputMessage="1" showErrorMessage="1" errorTitle="Over-recovered accounts balances" error="Are these amounts approved by ERC?" promptTitle="Over-recovery accounts balances" prompt="Enter the amount in your ERC approved deferral accounts. Over-recovered balances are ERC-approved amounts for you to reimburse customers  in future tariffs charged to, e.g. over-covered expenses/income in early years, FX adjustments. " sqref="G65:G67"/>
    <dataValidation type="custom" allowBlank="1" showInputMessage="1" showErrorMessage="1" errorTitle="Error" error="You cannot enter values in this cell. Please your cost of equity in section 4.2.7 above" promptTitle="Note" prompt="This cell is a formulaic calculation. No input is required" sqref="F85">
      <formula1>0</formula1>
    </dataValidation>
  </dataValidations>
  <pageMargins left="0.70866141732283472" right="0.70866141732283472" top="0.74803149606299213" bottom="0.74803149606299213" header="0.31496062992125984" footer="0.31496062992125984"/>
  <pageSetup orientation="landscape" r:id="rId1"/>
  <headerFooter>
    <oddHeader>&amp;C&amp;A</oddHeader>
    <oddFooter>&amp;CPage &amp;P of &amp;N</oddFooter>
  </headerFooter>
  <rowBreaks count="3" manualBreakCount="3">
    <brk id="23" max="16383" man="1"/>
    <brk id="61" max="16383" man="1"/>
    <brk id="95"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R348"/>
  <sheetViews>
    <sheetView showGridLines="0" topLeftCell="S1" zoomScaleNormal="100" workbookViewId="0">
      <selection activeCell="AD7" sqref="AD7"/>
    </sheetView>
  </sheetViews>
  <sheetFormatPr defaultColWidth="9.140625" defaultRowHeight="12.75" x14ac:dyDescent="0.2"/>
  <cols>
    <col min="1" max="1" width="1.42578125" style="170" customWidth="1"/>
    <col min="2" max="2" width="1.42578125" style="26" customWidth="1"/>
    <col min="3" max="3" width="7.85546875" style="26" customWidth="1"/>
    <col min="4" max="4" width="11.7109375" style="26" customWidth="1"/>
    <col min="5" max="5" width="11.28515625" style="26" customWidth="1"/>
    <col min="6" max="6" width="12.28515625" style="26" bestFit="1" customWidth="1"/>
    <col min="7" max="30" width="12.42578125" style="26" customWidth="1"/>
    <col min="31" max="31" width="9.140625" style="26"/>
    <col min="32" max="278" width="9.140625" style="170"/>
    <col min="279" max="16384" width="9.140625" style="26"/>
  </cols>
  <sheetData>
    <row r="1" spans="1:278" s="170" customFormat="1" ht="7.5" customHeight="1" x14ac:dyDescent="0.2"/>
    <row r="2" spans="1:278" ht="7.5" customHeight="1" x14ac:dyDescent="0.2"/>
    <row r="3" spans="1:278" ht="15" customHeight="1" x14ac:dyDescent="0.3">
      <c r="C3" s="302" t="s">
        <v>503</v>
      </c>
      <c r="D3" s="114"/>
      <c r="E3" s="114"/>
    </row>
    <row r="4" spans="1:278" x14ac:dyDescent="0.2">
      <c r="C4" s="270"/>
      <c r="D4" s="270"/>
      <c r="E4" s="270"/>
      <c r="F4" s="271"/>
      <c r="G4" s="271"/>
      <c r="H4" s="271"/>
      <c r="I4" s="271"/>
      <c r="J4" s="271"/>
    </row>
    <row r="5" spans="1:278" x14ac:dyDescent="0.2">
      <c r="B5" s="272"/>
      <c r="C5" s="726" t="s">
        <v>420</v>
      </c>
      <c r="D5" s="727"/>
      <c r="E5" s="727"/>
      <c r="F5" s="727"/>
      <c r="G5" s="727"/>
      <c r="H5" s="727"/>
      <c r="I5" s="727"/>
      <c r="J5" s="728"/>
    </row>
    <row r="6" spans="1:278" ht="15" customHeight="1" x14ac:dyDescent="0.2">
      <c r="C6" s="736"/>
      <c r="D6" s="737"/>
      <c r="E6" s="738"/>
      <c r="F6" s="732" t="s">
        <v>51</v>
      </c>
      <c r="G6" s="729" t="s">
        <v>421</v>
      </c>
      <c r="H6" s="730"/>
      <c r="I6" s="730"/>
      <c r="J6" s="730"/>
      <c r="K6" s="730"/>
      <c r="L6" s="730"/>
      <c r="M6" s="730"/>
      <c r="N6" s="730"/>
      <c r="O6" s="730"/>
      <c r="P6" s="730"/>
      <c r="Q6" s="730"/>
      <c r="R6" s="730"/>
      <c r="S6" s="730"/>
      <c r="T6" s="730"/>
      <c r="U6" s="730"/>
      <c r="V6" s="730"/>
      <c r="W6" s="730"/>
      <c r="X6" s="730"/>
      <c r="Y6" s="730"/>
      <c r="Z6" s="730"/>
      <c r="AA6" s="730"/>
      <c r="AB6" s="730"/>
      <c r="AC6" s="730"/>
      <c r="AD6" s="731"/>
    </row>
    <row r="7" spans="1:278" x14ac:dyDescent="0.2">
      <c r="C7" s="714"/>
      <c r="D7" s="715"/>
      <c r="E7" s="739"/>
      <c r="F7" s="733"/>
      <c r="G7" s="122">
        <v>1</v>
      </c>
      <c r="H7" s="122">
        <v>2</v>
      </c>
      <c r="I7" s="122">
        <v>3</v>
      </c>
      <c r="J7" s="122">
        <v>4</v>
      </c>
      <c r="K7" s="122">
        <v>5</v>
      </c>
      <c r="L7" s="122">
        <v>6</v>
      </c>
      <c r="M7" s="122">
        <v>7</v>
      </c>
      <c r="N7" s="122">
        <v>8</v>
      </c>
      <c r="O7" s="122">
        <v>9</v>
      </c>
      <c r="P7" s="122">
        <v>10</v>
      </c>
      <c r="Q7" s="122">
        <v>11</v>
      </c>
      <c r="R7" s="122">
        <v>12</v>
      </c>
      <c r="S7" s="122">
        <v>13</v>
      </c>
      <c r="T7" s="122">
        <v>14</v>
      </c>
      <c r="U7" s="122">
        <v>15</v>
      </c>
      <c r="V7" s="122">
        <v>16</v>
      </c>
      <c r="W7" s="122">
        <v>17</v>
      </c>
      <c r="X7" s="122">
        <v>18</v>
      </c>
      <c r="Y7" s="122">
        <v>19</v>
      </c>
      <c r="Z7" s="122">
        <v>20</v>
      </c>
      <c r="AA7" s="122">
        <v>21</v>
      </c>
      <c r="AB7" s="122">
        <v>22</v>
      </c>
      <c r="AC7" s="122">
        <v>23</v>
      </c>
      <c r="AD7" s="122">
        <v>24</v>
      </c>
    </row>
    <row r="8" spans="1:278" x14ac:dyDescent="0.2">
      <c r="C8" s="725" t="s">
        <v>0</v>
      </c>
      <c r="D8" s="725"/>
      <c r="E8" s="725"/>
      <c r="F8" s="293">
        <f>'Capital Costs Details'!D151</f>
        <v>0</v>
      </c>
      <c r="G8" s="296"/>
      <c r="H8" s="296"/>
      <c r="I8" s="296"/>
      <c r="J8" s="296"/>
      <c r="K8" s="296"/>
      <c r="L8" s="296"/>
      <c r="M8" s="296"/>
      <c r="N8" s="296"/>
      <c r="O8" s="296"/>
      <c r="P8" s="296"/>
      <c r="Q8" s="296"/>
      <c r="R8" s="296"/>
      <c r="S8" s="296"/>
      <c r="T8" s="296"/>
      <c r="U8" s="296"/>
      <c r="V8" s="296"/>
      <c r="W8" s="296"/>
      <c r="X8" s="296"/>
      <c r="Y8" s="296"/>
      <c r="Z8" s="296"/>
      <c r="AA8" s="296"/>
      <c r="AB8" s="296"/>
      <c r="AC8" s="296"/>
      <c r="AD8" s="296"/>
    </row>
    <row r="9" spans="1:278" x14ac:dyDescent="0.2">
      <c r="C9" s="734" t="s">
        <v>69</v>
      </c>
      <c r="D9" s="734"/>
      <c r="E9" s="734"/>
      <c r="F9" s="632">
        <f>IF(SUM(G9:AD9)&gt;100%,"Error&gt;100%",SUM(G9:AD9))</f>
        <v>0</v>
      </c>
      <c r="G9" s="328"/>
      <c r="H9" s="297"/>
      <c r="I9" s="297"/>
      <c r="J9" s="297"/>
      <c r="K9" s="297"/>
      <c r="L9" s="297"/>
      <c r="M9" s="297"/>
      <c r="N9" s="297"/>
      <c r="O9" s="297"/>
      <c r="P9" s="297"/>
      <c r="Q9" s="297"/>
      <c r="R9" s="297"/>
      <c r="S9" s="297"/>
      <c r="T9" s="297"/>
      <c r="U9" s="297"/>
      <c r="V9" s="297"/>
      <c r="W9" s="297"/>
      <c r="X9" s="297"/>
      <c r="Y9" s="297"/>
      <c r="Z9" s="297"/>
      <c r="AA9" s="297"/>
      <c r="AB9" s="297"/>
      <c r="AC9" s="297"/>
      <c r="AD9" s="332"/>
    </row>
    <row r="10" spans="1:278" s="8" customFormat="1" x14ac:dyDescent="0.2">
      <c r="A10" s="174"/>
      <c r="C10" s="734" t="s">
        <v>52</v>
      </c>
      <c r="D10" s="734"/>
      <c r="E10" s="734"/>
      <c r="F10" s="122"/>
      <c r="G10" s="296" t="str">
        <f>IF('Loan Drawdown'!G$7&gt;'Capital Costs Details'!$D$155,"0",$F8*G9)</f>
        <v>0</v>
      </c>
      <c r="H10" s="296" t="str">
        <f>IF('Loan Drawdown'!H$7&gt;'Capital Costs Details'!$D$155,"0",$F8*H9)</f>
        <v>0</v>
      </c>
      <c r="I10" s="296" t="str">
        <f>IF('Loan Drawdown'!I$7&gt;'Capital Costs Details'!$D$155,"0",$F8*I9)</f>
        <v>0</v>
      </c>
      <c r="J10" s="296" t="str">
        <f>IF('Loan Drawdown'!J$7&gt;'Capital Costs Details'!$D$155,"0",$F8*J9)</f>
        <v>0</v>
      </c>
      <c r="K10" s="296" t="str">
        <f>IF('Loan Drawdown'!K$7&gt;'Capital Costs Details'!$D$155,"0",$F8*K9)</f>
        <v>0</v>
      </c>
      <c r="L10" s="296" t="str">
        <f>IF('Loan Drawdown'!L$7&gt;'Capital Costs Details'!$D$155,"0",$F8*L9)</f>
        <v>0</v>
      </c>
      <c r="M10" s="296" t="str">
        <f>IF('Loan Drawdown'!M$7&gt;'Capital Costs Details'!$D$155,"0",$F8*M9)</f>
        <v>0</v>
      </c>
      <c r="N10" s="296" t="str">
        <f>IF('Loan Drawdown'!N$7&gt;'Capital Costs Details'!$D$155,"0",$F8*N9)</f>
        <v>0</v>
      </c>
      <c r="O10" s="296" t="str">
        <f>IF('Loan Drawdown'!O$7&gt;'Capital Costs Details'!$D$155,"0",$F8*O9)</f>
        <v>0</v>
      </c>
      <c r="P10" s="296" t="str">
        <f>IF('Loan Drawdown'!P$7&gt;'Capital Costs Details'!$D$155,"0",$F8*P9)</f>
        <v>0</v>
      </c>
      <c r="Q10" s="296" t="str">
        <f>IF('Loan Drawdown'!Q$7&gt;'Capital Costs Details'!$D$155,"0",$F8*Q9)</f>
        <v>0</v>
      </c>
      <c r="R10" s="296" t="str">
        <f>IF('Loan Drawdown'!R$7&gt;'Capital Costs Details'!$D$155,"0",$F8*R9)</f>
        <v>0</v>
      </c>
      <c r="S10" s="296" t="str">
        <f>IF('Loan Drawdown'!S$7&gt;'Capital Costs Details'!$D$155,"0",$F8*S9)</f>
        <v>0</v>
      </c>
      <c r="T10" s="296" t="str">
        <f>IF('Loan Drawdown'!T$7&gt;'Capital Costs Details'!$D$155,"0",$F8*T9)</f>
        <v>0</v>
      </c>
      <c r="U10" s="296" t="str">
        <f>IF('Loan Drawdown'!U$7&gt;'Capital Costs Details'!$D$155,"0",$F8*U9)</f>
        <v>0</v>
      </c>
      <c r="V10" s="296" t="str">
        <f>IF('Loan Drawdown'!V$7&gt;'Capital Costs Details'!$D$155,"0",$F8*V9)</f>
        <v>0</v>
      </c>
      <c r="W10" s="296" t="str">
        <f>IF('Loan Drawdown'!W$7&gt;'Capital Costs Details'!$D$155,"0",$F8*W9)</f>
        <v>0</v>
      </c>
      <c r="X10" s="296" t="str">
        <f>IF('Loan Drawdown'!X$7&gt;'Capital Costs Details'!$D$155,"0",$F8*X9)</f>
        <v>0</v>
      </c>
      <c r="Y10" s="296" t="str">
        <f>IF('Loan Drawdown'!Y$7&gt;'Capital Costs Details'!$D$155,"0",$F8*Y9)</f>
        <v>0</v>
      </c>
      <c r="Z10" s="296" t="str">
        <f>IF('Loan Drawdown'!Z$7&gt;'Capital Costs Details'!$D$155,"0",$F8*Z9)</f>
        <v>0</v>
      </c>
      <c r="AA10" s="296" t="str">
        <f>IF('Loan Drawdown'!AA$7&gt;'Capital Costs Details'!$D$155,"0",$F8*AA9)</f>
        <v>0</v>
      </c>
      <c r="AB10" s="296" t="str">
        <f>IF('Loan Drawdown'!AB$7&gt;'Capital Costs Details'!$D$155,"0",$F8*AB9)</f>
        <v>0</v>
      </c>
      <c r="AC10" s="296" t="str">
        <f>IF('Loan Drawdown'!AC$7&gt;'Capital Costs Details'!$D$155,"0",$F8*AC9)</f>
        <v>0</v>
      </c>
      <c r="AD10" s="296" t="str">
        <f>IF('Loan Drawdown'!AD$7&gt;'Capital Costs Details'!$D$155,"0",$F8*AD9)</f>
        <v>0</v>
      </c>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c r="IV10" s="174"/>
      <c r="IW10" s="174"/>
      <c r="IX10" s="174"/>
      <c r="IY10" s="174"/>
      <c r="IZ10" s="174"/>
      <c r="JA10" s="174"/>
      <c r="JB10" s="174"/>
      <c r="JC10" s="174"/>
      <c r="JD10" s="174"/>
      <c r="JE10" s="174"/>
      <c r="JF10" s="174"/>
      <c r="JG10" s="174"/>
      <c r="JH10" s="174"/>
      <c r="JI10" s="174"/>
      <c r="JJ10" s="174"/>
      <c r="JK10" s="174"/>
      <c r="JL10" s="174"/>
      <c r="JM10" s="174"/>
      <c r="JN10" s="174"/>
      <c r="JO10" s="174"/>
      <c r="JP10" s="174"/>
      <c r="JQ10" s="174"/>
      <c r="JR10" s="174"/>
    </row>
    <row r="11" spans="1:278" s="8" customFormat="1" ht="6.75" customHeight="1" x14ac:dyDescent="0.2">
      <c r="A11" s="174"/>
      <c r="C11" s="722"/>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V11" s="174"/>
      <c r="IW11" s="174"/>
      <c r="IX11" s="174"/>
      <c r="IY11" s="174"/>
      <c r="IZ11" s="174"/>
      <c r="JA11" s="174"/>
      <c r="JB11" s="174"/>
      <c r="JC11" s="174"/>
      <c r="JD11" s="174"/>
      <c r="JE11" s="174"/>
      <c r="JF11" s="174"/>
      <c r="JG11" s="174"/>
      <c r="JH11" s="174"/>
      <c r="JI11" s="174"/>
      <c r="JJ11" s="174"/>
      <c r="JK11" s="174"/>
      <c r="JL11" s="174"/>
      <c r="JM11" s="174"/>
      <c r="JN11" s="174"/>
      <c r="JO11" s="174"/>
      <c r="JP11" s="174"/>
      <c r="JQ11" s="174"/>
      <c r="JR11" s="174"/>
    </row>
    <row r="12" spans="1:278" x14ac:dyDescent="0.2">
      <c r="C12" s="735" t="s">
        <v>1</v>
      </c>
      <c r="D12" s="735"/>
      <c r="E12" s="735"/>
      <c r="F12" s="294">
        <f>'Capital Costs Details'!E151</f>
        <v>0</v>
      </c>
      <c r="G12" s="298"/>
      <c r="H12" s="298"/>
      <c r="I12" s="298"/>
      <c r="J12" s="298"/>
      <c r="K12" s="298"/>
      <c r="L12" s="298"/>
      <c r="M12" s="298"/>
      <c r="N12" s="298"/>
      <c r="O12" s="298"/>
      <c r="P12" s="298"/>
      <c r="Q12" s="298"/>
      <c r="R12" s="298"/>
      <c r="S12" s="299"/>
      <c r="T12" s="298"/>
      <c r="U12" s="298"/>
      <c r="V12" s="298"/>
      <c r="W12" s="298"/>
      <c r="X12" s="298"/>
      <c r="Y12" s="298"/>
      <c r="Z12" s="298"/>
      <c r="AA12" s="299"/>
      <c r="AB12" s="298"/>
      <c r="AC12" s="298"/>
      <c r="AD12" s="298"/>
      <c r="AE12" s="115"/>
    </row>
    <row r="13" spans="1:278" x14ac:dyDescent="0.2">
      <c r="C13" s="734" t="s">
        <v>70</v>
      </c>
      <c r="D13" s="734"/>
      <c r="E13" s="734"/>
      <c r="F13" s="633">
        <f>IF(SUM(G13:AD13)&gt;100%,"Error&gt;100%",SUM(G13:AD13))</f>
        <v>0</v>
      </c>
      <c r="G13" s="329"/>
      <c r="H13" s="297"/>
      <c r="I13" s="297"/>
      <c r="J13" s="297"/>
      <c r="K13" s="297"/>
      <c r="L13" s="297"/>
      <c r="M13" s="297"/>
      <c r="N13" s="297"/>
      <c r="O13" s="297"/>
      <c r="P13" s="297"/>
      <c r="Q13" s="297"/>
      <c r="R13" s="297"/>
      <c r="S13" s="297"/>
      <c r="T13" s="297"/>
      <c r="U13" s="297"/>
      <c r="V13" s="297"/>
      <c r="W13" s="297"/>
      <c r="X13" s="297"/>
      <c r="Y13" s="297"/>
      <c r="Z13" s="297"/>
      <c r="AA13" s="297"/>
      <c r="AB13" s="297"/>
      <c r="AC13" s="297"/>
      <c r="AD13" s="332"/>
    </row>
    <row r="14" spans="1:278" s="8" customFormat="1" x14ac:dyDescent="0.2">
      <c r="A14" s="174"/>
      <c r="C14" s="734" t="s">
        <v>52</v>
      </c>
      <c r="D14" s="734"/>
      <c r="E14" s="734"/>
      <c r="F14" s="122"/>
      <c r="G14" s="330" t="str">
        <f>IF('Loan Drawdown'!G$7&gt;'Capital Costs Details'!$D$155,"0",$F12*G13)</f>
        <v>0</v>
      </c>
      <c r="H14" s="296" t="str">
        <f>IF('Loan Drawdown'!H$7&gt;'Capital Costs Details'!$D$155,"0",$F12*H13)</f>
        <v>0</v>
      </c>
      <c r="I14" s="296" t="str">
        <f>IF('Loan Drawdown'!I$7&gt;'Capital Costs Details'!$D$155,"0",$F12*I13)</f>
        <v>0</v>
      </c>
      <c r="J14" s="296" t="str">
        <f>IF('Loan Drawdown'!J$7&gt;'Capital Costs Details'!$D$155,"0",$F12*J13)</f>
        <v>0</v>
      </c>
      <c r="K14" s="296" t="str">
        <f>IF('Loan Drawdown'!K$7&gt;'Capital Costs Details'!$D$155,"0",$F12*K13)</f>
        <v>0</v>
      </c>
      <c r="L14" s="296" t="str">
        <f>IF('Loan Drawdown'!L$7&gt;'Capital Costs Details'!$D$155,"0",$F12*L13)</f>
        <v>0</v>
      </c>
      <c r="M14" s="296" t="str">
        <f>IF('Loan Drawdown'!M$7&gt;'Capital Costs Details'!$D$155,"0",$F12*M13)</f>
        <v>0</v>
      </c>
      <c r="N14" s="296" t="str">
        <f>IF('Loan Drawdown'!N$7&gt;'Capital Costs Details'!$D$155,"0",$F12*N13)</f>
        <v>0</v>
      </c>
      <c r="O14" s="296" t="str">
        <f>IF('Loan Drawdown'!O$7&gt;'Capital Costs Details'!$D$155,"0",$F12*O13)</f>
        <v>0</v>
      </c>
      <c r="P14" s="296" t="str">
        <f>IF('Loan Drawdown'!P$7&gt;'Capital Costs Details'!$D$155,"0",$F12*P13)</f>
        <v>0</v>
      </c>
      <c r="Q14" s="296" t="str">
        <f>IF('Loan Drawdown'!Q$7&gt;'Capital Costs Details'!$D$155,"0",$F12*Q13)</f>
        <v>0</v>
      </c>
      <c r="R14" s="296" t="str">
        <f>IF('Loan Drawdown'!R$7&gt;'Capital Costs Details'!$D$155,"0",$F12*R13)</f>
        <v>0</v>
      </c>
      <c r="S14" s="296" t="str">
        <f>IF('Loan Drawdown'!S$7&gt;'Capital Costs Details'!$D$155,"0",$F12*S13)</f>
        <v>0</v>
      </c>
      <c r="T14" s="296" t="str">
        <f>IF('Loan Drawdown'!T$7&gt;'Capital Costs Details'!$D$155,"0",$F12*T13)</f>
        <v>0</v>
      </c>
      <c r="U14" s="296" t="str">
        <f>IF('Loan Drawdown'!U$7&gt;'Capital Costs Details'!$D$155,"0",$F12*U13)</f>
        <v>0</v>
      </c>
      <c r="V14" s="296" t="str">
        <f>IF('Loan Drawdown'!V$7&gt;'Capital Costs Details'!$D$155,"0",$F12*V13)</f>
        <v>0</v>
      </c>
      <c r="W14" s="296" t="str">
        <f>IF('Loan Drawdown'!W$7&gt;'Capital Costs Details'!$D$155,"0",$F12*W13)</f>
        <v>0</v>
      </c>
      <c r="X14" s="296" t="str">
        <f>IF('Loan Drawdown'!X$7&gt;'Capital Costs Details'!$D$155,"0",$F12*X13)</f>
        <v>0</v>
      </c>
      <c r="Y14" s="296" t="str">
        <f>IF('Loan Drawdown'!Y$7&gt;'Capital Costs Details'!$D$155,"0",$F12*Y13)</f>
        <v>0</v>
      </c>
      <c r="Z14" s="296" t="str">
        <f>IF('Loan Drawdown'!Z$7&gt;'Capital Costs Details'!$D$155,"0",$F12*Z13)</f>
        <v>0</v>
      </c>
      <c r="AA14" s="296" t="str">
        <f>IF('Loan Drawdown'!AA$7&gt;'Capital Costs Details'!$D$155,"0",$F12*AA13)</f>
        <v>0</v>
      </c>
      <c r="AB14" s="296" t="str">
        <f>IF('Loan Drawdown'!AB$7&gt;'Capital Costs Details'!$D$155,"0",$F12*AB13)</f>
        <v>0</v>
      </c>
      <c r="AC14" s="296" t="str">
        <f>IF('Loan Drawdown'!AC$7&gt;'Capital Costs Details'!$D$155,"0",$F12*AC13)</f>
        <v>0</v>
      </c>
      <c r="AD14" s="296" t="str">
        <f>IF('Loan Drawdown'!AD$7&gt;'Capital Costs Details'!$D$155,"0",$F12*AD13)</f>
        <v>0</v>
      </c>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c r="IW14" s="174"/>
      <c r="IX14" s="174"/>
      <c r="IY14" s="174"/>
      <c r="IZ14" s="174"/>
      <c r="JA14" s="174"/>
      <c r="JB14" s="174"/>
      <c r="JC14" s="174"/>
      <c r="JD14" s="174"/>
      <c r="JE14" s="174"/>
      <c r="JF14" s="174"/>
      <c r="JG14" s="174"/>
      <c r="JH14" s="174"/>
      <c r="JI14" s="174"/>
      <c r="JJ14" s="174"/>
      <c r="JK14" s="174"/>
      <c r="JL14" s="174"/>
      <c r="JM14" s="174"/>
      <c r="JN14" s="174"/>
      <c r="JO14" s="174"/>
      <c r="JP14" s="174"/>
      <c r="JQ14" s="174"/>
      <c r="JR14" s="174"/>
    </row>
    <row r="15" spans="1:278" s="8" customFormat="1" ht="6.75" customHeight="1" x14ac:dyDescent="0.2">
      <c r="A15" s="174"/>
      <c r="C15" s="722"/>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c r="IU15" s="174"/>
      <c r="IV15" s="174"/>
      <c r="IW15" s="174"/>
      <c r="IX15" s="174"/>
      <c r="IY15" s="174"/>
      <c r="IZ15" s="174"/>
      <c r="JA15" s="174"/>
      <c r="JB15" s="174"/>
      <c r="JC15" s="174"/>
      <c r="JD15" s="174"/>
      <c r="JE15" s="174"/>
      <c r="JF15" s="174"/>
      <c r="JG15" s="174"/>
      <c r="JH15" s="174"/>
      <c r="JI15" s="174"/>
      <c r="JJ15" s="174"/>
      <c r="JK15" s="174"/>
      <c r="JL15" s="174"/>
      <c r="JM15" s="174"/>
      <c r="JN15" s="174"/>
      <c r="JO15" s="174"/>
      <c r="JP15" s="174"/>
      <c r="JQ15" s="174"/>
      <c r="JR15" s="174"/>
    </row>
    <row r="16" spans="1:278" x14ac:dyDescent="0.2">
      <c r="C16" s="735" t="s">
        <v>66</v>
      </c>
      <c r="D16" s="735"/>
      <c r="E16" s="735"/>
      <c r="F16" s="294">
        <f>'Capital Costs Details'!F151</f>
        <v>0</v>
      </c>
      <c r="G16" s="331"/>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row>
    <row r="17" spans="1:278" x14ac:dyDescent="0.2">
      <c r="C17" s="734" t="s">
        <v>71</v>
      </c>
      <c r="D17" s="734"/>
      <c r="E17" s="734"/>
      <c r="F17" s="634">
        <f>IF(SUM(G17:AD17)&gt;100%,"Error&gt;100%",SUM(G17:AD17))</f>
        <v>0</v>
      </c>
      <c r="G17" s="329"/>
      <c r="H17" s="297"/>
      <c r="I17" s="297"/>
      <c r="J17" s="297"/>
      <c r="K17" s="297"/>
      <c r="L17" s="297"/>
      <c r="M17" s="297"/>
      <c r="N17" s="297"/>
      <c r="O17" s="297"/>
      <c r="P17" s="297"/>
      <c r="Q17" s="297"/>
      <c r="R17" s="297"/>
      <c r="S17" s="297"/>
      <c r="T17" s="297"/>
      <c r="U17" s="297"/>
      <c r="V17" s="297"/>
      <c r="W17" s="297"/>
      <c r="X17" s="297"/>
      <c r="Y17" s="297"/>
      <c r="Z17" s="297"/>
      <c r="AA17" s="297"/>
      <c r="AB17" s="297"/>
      <c r="AC17" s="297"/>
      <c r="AD17" s="332"/>
    </row>
    <row r="18" spans="1:278" s="8" customFormat="1" x14ac:dyDescent="0.2">
      <c r="A18" s="174"/>
      <c r="C18" s="719" t="s">
        <v>52</v>
      </c>
      <c r="D18" s="720"/>
      <c r="E18" s="721"/>
      <c r="F18" s="122"/>
      <c r="G18" s="300">
        <f t="shared" ref="G18:AD18" si="0">$F16*G17</f>
        <v>0</v>
      </c>
      <c r="H18" s="300">
        <f t="shared" si="0"/>
        <v>0</v>
      </c>
      <c r="I18" s="300">
        <f t="shared" si="0"/>
        <v>0</v>
      </c>
      <c r="J18" s="300">
        <f t="shared" si="0"/>
        <v>0</v>
      </c>
      <c r="K18" s="300">
        <f t="shared" si="0"/>
        <v>0</v>
      </c>
      <c r="L18" s="300">
        <f t="shared" si="0"/>
        <v>0</v>
      </c>
      <c r="M18" s="300">
        <f t="shared" si="0"/>
        <v>0</v>
      </c>
      <c r="N18" s="300">
        <f t="shared" si="0"/>
        <v>0</v>
      </c>
      <c r="O18" s="300">
        <f t="shared" si="0"/>
        <v>0</v>
      </c>
      <c r="P18" s="300">
        <f t="shared" si="0"/>
        <v>0</v>
      </c>
      <c r="Q18" s="300">
        <f t="shared" si="0"/>
        <v>0</v>
      </c>
      <c r="R18" s="300">
        <f t="shared" si="0"/>
        <v>0</v>
      </c>
      <c r="S18" s="300">
        <f t="shared" si="0"/>
        <v>0</v>
      </c>
      <c r="T18" s="300">
        <f t="shared" si="0"/>
        <v>0</v>
      </c>
      <c r="U18" s="300">
        <f t="shared" si="0"/>
        <v>0</v>
      </c>
      <c r="V18" s="300">
        <f t="shared" si="0"/>
        <v>0</v>
      </c>
      <c r="W18" s="300">
        <f t="shared" si="0"/>
        <v>0</v>
      </c>
      <c r="X18" s="300">
        <f t="shared" si="0"/>
        <v>0</v>
      </c>
      <c r="Y18" s="300">
        <f t="shared" si="0"/>
        <v>0</v>
      </c>
      <c r="Z18" s="300">
        <f t="shared" si="0"/>
        <v>0</v>
      </c>
      <c r="AA18" s="300">
        <f t="shared" si="0"/>
        <v>0</v>
      </c>
      <c r="AB18" s="300">
        <f t="shared" si="0"/>
        <v>0</v>
      </c>
      <c r="AC18" s="300">
        <f t="shared" si="0"/>
        <v>0</v>
      </c>
      <c r="AD18" s="300">
        <f t="shared" si="0"/>
        <v>0</v>
      </c>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c r="IU18" s="174"/>
      <c r="IV18" s="174"/>
      <c r="IW18" s="174"/>
      <c r="IX18" s="174"/>
      <c r="IY18" s="174"/>
      <c r="IZ18" s="174"/>
      <c r="JA18" s="174"/>
      <c r="JB18" s="174"/>
      <c r="JC18" s="174"/>
      <c r="JD18" s="174"/>
      <c r="JE18" s="174"/>
      <c r="JF18" s="174"/>
      <c r="JG18" s="174"/>
      <c r="JH18" s="174"/>
      <c r="JI18" s="174"/>
      <c r="JJ18" s="174"/>
      <c r="JK18" s="174"/>
      <c r="JL18" s="174"/>
      <c r="JM18" s="174"/>
      <c r="JN18" s="174"/>
      <c r="JO18" s="174"/>
      <c r="JP18" s="174"/>
      <c r="JQ18" s="174"/>
      <c r="JR18" s="174"/>
    </row>
    <row r="19" spans="1:278" s="8" customFormat="1" ht="6.75" customHeight="1" x14ac:dyDescent="0.2">
      <c r="A19" s="174"/>
      <c r="C19" s="492"/>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1"/>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c r="IR19" s="174"/>
      <c r="IS19" s="174"/>
      <c r="IT19" s="174"/>
      <c r="IU19" s="174"/>
      <c r="IV19" s="174"/>
      <c r="IW19" s="174"/>
      <c r="IX19" s="174"/>
      <c r="IY19" s="174"/>
      <c r="IZ19" s="174"/>
      <c r="JA19" s="174"/>
      <c r="JB19" s="174"/>
      <c r="JC19" s="174"/>
      <c r="JD19" s="174"/>
      <c r="JE19" s="174"/>
      <c r="JF19" s="174"/>
      <c r="JG19" s="174"/>
      <c r="JH19" s="174"/>
      <c r="JI19" s="174"/>
      <c r="JJ19" s="174"/>
      <c r="JK19" s="174"/>
      <c r="JL19" s="174"/>
      <c r="JM19" s="174"/>
      <c r="JN19" s="174"/>
      <c r="JO19" s="174"/>
      <c r="JP19" s="174"/>
      <c r="JQ19" s="174"/>
      <c r="JR19" s="174"/>
    </row>
    <row r="20" spans="1:278" s="8" customFormat="1" ht="15.75" customHeight="1" thickBot="1" x14ac:dyDescent="0.25">
      <c r="A20" s="174"/>
      <c r="C20" s="716" t="s">
        <v>72</v>
      </c>
      <c r="D20" s="717"/>
      <c r="E20" s="718"/>
      <c r="F20" s="295">
        <f>F8+F12+F16</f>
        <v>0</v>
      </c>
      <c r="G20" s="301">
        <f t="shared" ref="G20:AD20" si="1">G10+G14+G18</f>
        <v>0</v>
      </c>
      <c r="H20" s="301">
        <f t="shared" si="1"/>
        <v>0</v>
      </c>
      <c r="I20" s="301">
        <f t="shared" si="1"/>
        <v>0</v>
      </c>
      <c r="J20" s="301">
        <f t="shared" si="1"/>
        <v>0</v>
      </c>
      <c r="K20" s="301">
        <f t="shared" si="1"/>
        <v>0</v>
      </c>
      <c r="L20" s="301">
        <f t="shared" si="1"/>
        <v>0</v>
      </c>
      <c r="M20" s="301">
        <f t="shared" si="1"/>
        <v>0</v>
      </c>
      <c r="N20" s="301">
        <f t="shared" si="1"/>
        <v>0</v>
      </c>
      <c r="O20" s="301">
        <f t="shared" si="1"/>
        <v>0</v>
      </c>
      <c r="P20" s="301">
        <f t="shared" si="1"/>
        <v>0</v>
      </c>
      <c r="Q20" s="301">
        <f t="shared" si="1"/>
        <v>0</v>
      </c>
      <c r="R20" s="301">
        <f t="shared" si="1"/>
        <v>0</v>
      </c>
      <c r="S20" s="301">
        <f t="shared" si="1"/>
        <v>0</v>
      </c>
      <c r="T20" s="301">
        <f t="shared" si="1"/>
        <v>0</v>
      </c>
      <c r="U20" s="301">
        <f t="shared" si="1"/>
        <v>0</v>
      </c>
      <c r="V20" s="301">
        <f t="shared" si="1"/>
        <v>0</v>
      </c>
      <c r="W20" s="301">
        <f t="shared" si="1"/>
        <v>0</v>
      </c>
      <c r="X20" s="301">
        <f t="shared" si="1"/>
        <v>0</v>
      </c>
      <c r="Y20" s="301">
        <f t="shared" si="1"/>
        <v>0</v>
      </c>
      <c r="Z20" s="301">
        <f t="shared" si="1"/>
        <v>0</v>
      </c>
      <c r="AA20" s="301">
        <f t="shared" si="1"/>
        <v>0</v>
      </c>
      <c r="AB20" s="301">
        <f t="shared" si="1"/>
        <v>0</v>
      </c>
      <c r="AC20" s="301">
        <f t="shared" si="1"/>
        <v>0</v>
      </c>
      <c r="AD20" s="333">
        <f t="shared" si="1"/>
        <v>0</v>
      </c>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c r="IR20" s="174"/>
      <c r="IS20" s="174"/>
      <c r="IT20" s="174"/>
      <c r="IU20" s="174"/>
      <c r="IV20" s="174"/>
      <c r="IW20" s="174"/>
      <c r="IX20" s="174"/>
      <c r="IY20" s="174"/>
      <c r="IZ20" s="174"/>
      <c r="JA20" s="174"/>
      <c r="JB20" s="174"/>
      <c r="JC20" s="174"/>
      <c r="JD20" s="174"/>
      <c r="JE20" s="174"/>
      <c r="JF20" s="174"/>
      <c r="JG20" s="174"/>
      <c r="JH20" s="174"/>
      <c r="JI20" s="174"/>
      <c r="JJ20" s="174"/>
      <c r="JK20" s="174"/>
      <c r="JL20" s="174"/>
      <c r="JM20" s="174"/>
      <c r="JN20" s="174"/>
      <c r="JO20" s="174"/>
      <c r="JP20" s="174"/>
      <c r="JQ20" s="174"/>
      <c r="JR20" s="174"/>
    </row>
    <row r="21" spans="1:278" ht="13.5" thickTop="1" x14ac:dyDescent="0.2">
      <c r="C21" s="712"/>
      <c r="D21" s="713"/>
      <c r="E21" s="713"/>
      <c r="F21" s="1"/>
      <c r="G21" s="2"/>
      <c r="H21" s="2"/>
      <c r="I21" s="2"/>
      <c r="J21" s="2"/>
      <c r="K21" s="2"/>
      <c r="L21" s="2"/>
      <c r="M21" s="2"/>
      <c r="N21" s="2"/>
      <c r="O21" s="2"/>
      <c r="P21" s="2"/>
      <c r="Q21" s="2"/>
      <c r="R21" s="2"/>
      <c r="S21" s="2"/>
      <c r="T21" s="2"/>
      <c r="U21" s="2"/>
      <c r="V21" s="2"/>
      <c r="W21" s="2"/>
      <c r="X21" s="2"/>
      <c r="Y21" s="2"/>
      <c r="Z21" s="2"/>
      <c r="AA21" s="2"/>
      <c r="AB21" s="2"/>
      <c r="AC21" s="2"/>
      <c r="AD21" s="334"/>
    </row>
    <row r="22" spans="1:278" x14ac:dyDescent="0.2">
      <c r="C22" s="714" t="s">
        <v>53</v>
      </c>
      <c r="D22" s="715"/>
      <c r="E22" s="715"/>
      <c r="F22" s="116"/>
      <c r="G22" s="67">
        <f t="shared" ref="G22:AD22" si="2">IF($F$20&gt;0,G23/$F$20,0)</f>
        <v>0</v>
      </c>
      <c r="H22" s="67">
        <f t="shared" si="2"/>
        <v>0</v>
      </c>
      <c r="I22" s="67">
        <f t="shared" si="2"/>
        <v>0</v>
      </c>
      <c r="J22" s="67">
        <f t="shared" si="2"/>
        <v>0</v>
      </c>
      <c r="K22" s="67">
        <f t="shared" si="2"/>
        <v>0</v>
      </c>
      <c r="L22" s="67">
        <f t="shared" si="2"/>
        <v>0</v>
      </c>
      <c r="M22" s="67">
        <f t="shared" si="2"/>
        <v>0</v>
      </c>
      <c r="N22" s="67">
        <f t="shared" si="2"/>
        <v>0</v>
      </c>
      <c r="O22" s="67">
        <f t="shared" si="2"/>
        <v>0</v>
      </c>
      <c r="P22" s="67">
        <f t="shared" si="2"/>
        <v>0</v>
      </c>
      <c r="Q22" s="67">
        <f t="shared" si="2"/>
        <v>0</v>
      </c>
      <c r="R22" s="67">
        <f t="shared" si="2"/>
        <v>0</v>
      </c>
      <c r="S22" s="67">
        <f t="shared" si="2"/>
        <v>0</v>
      </c>
      <c r="T22" s="67">
        <f t="shared" si="2"/>
        <v>0</v>
      </c>
      <c r="U22" s="67">
        <f t="shared" si="2"/>
        <v>0</v>
      </c>
      <c r="V22" s="67">
        <f t="shared" si="2"/>
        <v>0</v>
      </c>
      <c r="W22" s="67">
        <f t="shared" si="2"/>
        <v>0</v>
      </c>
      <c r="X22" s="67">
        <f t="shared" si="2"/>
        <v>0</v>
      </c>
      <c r="Y22" s="67">
        <f t="shared" si="2"/>
        <v>0</v>
      </c>
      <c r="Z22" s="67">
        <f t="shared" si="2"/>
        <v>0</v>
      </c>
      <c r="AA22" s="67">
        <f t="shared" si="2"/>
        <v>0</v>
      </c>
      <c r="AB22" s="67">
        <f t="shared" si="2"/>
        <v>0</v>
      </c>
      <c r="AC22" s="67">
        <f t="shared" si="2"/>
        <v>0</v>
      </c>
      <c r="AD22" s="335">
        <f t="shared" si="2"/>
        <v>0</v>
      </c>
    </row>
    <row r="23" spans="1:278" s="8" customFormat="1" ht="15.75" customHeight="1" x14ac:dyDescent="0.2">
      <c r="A23" s="174"/>
      <c r="C23" s="709" t="s">
        <v>73</v>
      </c>
      <c r="D23" s="710"/>
      <c r="E23" s="711"/>
      <c r="F23" s="294">
        <f>SUM(G20:AD20)</f>
        <v>0</v>
      </c>
      <c r="G23" s="336">
        <f>G20</f>
        <v>0</v>
      </c>
      <c r="H23" s="336">
        <f t="shared" ref="H23:AD23" si="3">G23+H20</f>
        <v>0</v>
      </c>
      <c r="I23" s="336">
        <f t="shared" si="3"/>
        <v>0</v>
      </c>
      <c r="J23" s="336">
        <f t="shared" si="3"/>
        <v>0</v>
      </c>
      <c r="K23" s="336">
        <f t="shared" si="3"/>
        <v>0</v>
      </c>
      <c r="L23" s="336">
        <f t="shared" si="3"/>
        <v>0</v>
      </c>
      <c r="M23" s="336">
        <f t="shared" si="3"/>
        <v>0</v>
      </c>
      <c r="N23" s="336">
        <f t="shared" si="3"/>
        <v>0</v>
      </c>
      <c r="O23" s="336">
        <f t="shared" si="3"/>
        <v>0</v>
      </c>
      <c r="P23" s="336">
        <f t="shared" si="3"/>
        <v>0</v>
      </c>
      <c r="Q23" s="336">
        <f t="shared" si="3"/>
        <v>0</v>
      </c>
      <c r="R23" s="336">
        <f t="shared" si="3"/>
        <v>0</v>
      </c>
      <c r="S23" s="336">
        <f t="shared" si="3"/>
        <v>0</v>
      </c>
      <c r="T23" s="336">
        <f t="shared" si="3"/>
        <v>0</v>
      </c>
      <c r="U23" s="336">
        <f t="shared" si="3"/>
        <v>0</v>
      </c>
      <c r="V23" s="336">
        <f t="shared" si="3"/>
        <v>0</v>
      </c>
      <c r="W23" s="336">
        <f t="shared" si="3"/>
        <v>0</v>
      </c>
      <c r="X23" s="336">
        <f t="shared" si="3"/>
        <v>0</v>
      </c>
      <c r="Y23" s="336">
        <f t="shared" si="3"/>
        <v>0</v>
      </c>
      <c r="Z23" s="336">
        <f t="shared" si="3"/>
        <v>0</v>
      </c>
      <c r="AA23" s="336">
        <f t="shared" si="3"/>
        <v>0</v>
      </c>
      <c r="AB23" s="336">
        <f t="shared" si="3"/>
        <v>0</v>
      </c>
      <c r="AC23" s="336">
        <f t="shared" si="3"/>
        <v>0</v>
      </c>
      <c r="AD23" s="289">
        <f t="shared" si="3"/>
        <v>0</v>
      </c>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c r="IO23" s="174"/>
      <c r="IP23" s="174"/>
      <c r="IQ23" s="174"/>
      <c r="IR23" s="174"/>
      <c r="IS23" s="174"/>
      <c r="IT23" s="174"/>
      <c r="IU23" s="174"/>
      <c r="IV23" s="174"/>
      <c r="IW23" s="174"/>
      <c r="IX23" s="174"/>
      <c r="IY23" s="174"/>
      <c r="IZ23" s="174"/>
      <c r="JA23" s="174"/>
      <c r="JB23" s="174"/>
      <c r="JC23" s="174"/>
      <c r="JD23" s="174"/>
      <c r="JE23" s="174"/>
      <c r="JF23" s="174"/>
      <c r="JG23" s="174"/>
      <c r="JH23" s="174"/>
      <c r="JI23" s="174"/>
      <c r="JJ23" s="174"/>
      <c r="JK23" s="174"/>
      <c r="JL23" s="174"/>
      <c r="JM23" s="174"/>
      <c r="JN23" s="174"/>
      <c r="JO23" s="174"/>
      <c r="JP23" s="174"/>
      <c r="JQ23" s="174"/>
      <c r="JR23" s="174"/>
    </row>
    <row r="24" spans="1:278" s="8" customFormat="1" x14ac:dyDescent="0.2">
      <c r="A24" s="174"/>
      <c r="C24" s="266"/>
      <c r="D24" s="266"/>
      <c r="E24" s="266"/>
      <c r="F24" s="267"/>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c r="IR24" s="174"/>
      <c r="IS24" s="174"/>
      <c r="IT24" s="174"/>
      <c r="IU24" s="174"/>
      <c r="IV24" s="174"/>
      <c r="IW24" s="174"/>
      <c r="IX24" s="174"/>
      <c r="IY24" s="174"/>
      <c r="IZ24" s="174"/>
      <c r="JA24" s="174"/>
      <c r="JB24" s="174"/>
      <c r="JC24" s="174"/>
      <c r="JD24" s="174"/>
      <c r="JE24" s="174"/>
      <c r="JF24" s="174"/>
      <c r="JG24" s="174"/>
      <c r="JH24" s="174"/>
      <c r="JI24" s="174"/>
      <c r="JJ24" s="174"/>
      <c r="JK24" s="174"/>
      <c r="JL24" s="174"/>
      <c r="JM24" s="174"/>
      <c r="JN24" s="174"/>
      <c r="JO24" s="174"/>
      <c r="JP24" s="174"/>
      <c r="JQ24" s="174"/>
      <c r="JR24" s="174"/>
    </row>
    <row r="25" spans="1:278" x14ac:dyDescent="0.2">
      <c r="C25" s="337" t="s">
        <v>75</v>
      </c>
      <c r="D25" s="273" t="s">
        <v>54</v>
      </c>
      <c r="E25" s="274" t="s">
        <v>55</v>
      </c>
      <c r="F25" s="275" t="s">
        <v>57</v>
      </c>
      <c r="J25" s="107"/>
    </row>
    <row r="26" spans="1:278" x14ac:dyDescent="0.2">
      <c r="C26" s="338"/>
      <c r="D26" s="280" t="s">
        <v>74</v>
      </c>
      <c r="E26" s="281">
        <f>'Tariff Inputs'!F85</f>
        <v>0</v>
      </c>
      <c r="F26" s="282" t="s">
        <v>74</v>
      </c>
      <c r="J26" s="107"/>
      <c r="AE26" s="115"/>
    </row>
    <row r="27" spans="1:278" x14ac:dyDescent="0.2">
      <c r="C27" s="276">
        <v>1</v>
      </c>
      <c r="D27" s="290">
        <f>G23</f>
        <v>0</v>
      </c>
      <c r="E27" s="285">
        <f>IF(D27&lt;'Tariff Inputs'!$D$84,0,$E$26/12)</f>
        <v>0</v>
      </c>
      <c r="F27" s="288">
        <f>IF(C27&gt;'Capital Costs Details'!$D$155,0,(D27-'Tariff Inputs'!$D$84)*E27)</f>
        <v>0</v>
      </c>
      <c r="J27" s="107"/>
      <c r="AE27" s="115"/>
    </row>
    <row r="28" spans="1:278" x14ac:dyDescent="0.2">
      <c r="C28" s="276">
        <v>2</v>
      </c>
      <c r="D28" s="291">
        <f>H23+SUM($F$27:F27)</f>
        <v>0</v>
      </c>
      <c r="E28" s="286">
        <f>IF(D28&lt;'Tariff Inputs'!$D$84,0,$E$26/12)</f>
        <v>0</v>
      </c>
      <c r="F28" s="288">
        <f>IF(C28&gt;'Capital Costs Details'!$D$155,0,(D28-'Tariff Inputs'!$D$84)*E28)</f>
        <v>0</v>
      </c>
      <c r="J28" s="107"/>
      <c r="AE28" s="115"/>
    </row>
    <row r="29" spans="1:278" x14ac:dyDescent="0.2">
      <c r="C29" s="276">
        <v>3</v>
      </c>
      <c r="D29" s="291">
        <f>I23++SUM($F$27:F28)</f>
        <v>0</v>
      </c>
      <c r="E29" s="286">
        <f>IF(D29&lt;'Tariff Inputs'!$D$84,0,$E$26/12)</f>
        <v>0</v>
      </c>
      <c r="F29" s="288">
        <f>IF(C29&gt;'Capital Costs Details'!$D$155,0,(D29-'Tariff Inputs'!$D$84)*E29)</f>
        <v>0</v>
      </c>
      <c r="J29" s="107"/>
      <c r="AE29" s="115"/>
    </row>
    <row r="30" spans="1:278" x14ac:dyDescent="0.2">
      <c r="C30" s="276">
        <v>4</v>
      </c>
      <c r="D30" s="291">
        <f>J23++SUM($F$27:F29)</f>
        <v>0</v>
      </c>
      <c r="E30" s="286">
        <f>IF(D30&lt;'Tariff Inputs'!$D$84,0,$E$26/12)</f>
        <v>0</v>
      </c>
      <c r="F30" s="288">
        <f>IF(C30&gt;'Capital Costs Details'!$D$155,0,(D30-'Tariff Inputs'!$D$84)*E30)</f>
        <v>0</v>
      </c>
      <c r="J30" s="107"/>
    </row>
    <row r="31" spans="1:278" x14ac:dyDescent="0.2">
      <c r="C31" s="276">
        <v>5</v>
      </c>
      <c r="D31" s="291">
        <f>K23++SUM($F$27:F30)</f>
        <v>0</v>
      </c>
      <c r="E31" s="286">
        <f>IF(D31&lt;'Tariff Inputs'!$D$84,0,$E$26/12)</f>
        <v>0</v>
      </c>
      <c r="F31" s="288">
        <f>IF(C31&gt;'Capital Costs Details'!$D$155,0,(D31-'Tariff Inputs'!$D$84)*E31)</f>
        <v>0</v>
      </c>
      <c r="J31" s="107"/>
    </row>
    <row r="32" spans="1:278" x14ac:dyDescent="0.2">
      <c r="C32" s="276">
        <v>6</v>
      </c>
      <c r="D32" s="291">
        <f>L23++SUM($F$27:F31)</f>
        <v>0</v>
      </c>
      <c r="E32" s="286">
        <f>IF(D32&lt;'Tariff Inputs'!$D$84,0,$E$26/12)</f>
        <v>0</v>
      </c>
      <c r="F32" s="288">
        <f>IF(C32&gt;'Capital Costs Details'!$D$155,0,(D32-'Tariff Inputs'!$D$84)*E32)</f>
        <v>0</v>
      </c>
      <c r="J32" s="107"/>
    </row>
    <row r="33" spans="3:10" x14ac:dyDescent="0.2">
      <c r="C33" s="276">
        <v>7</v>
      </c>
      <c r="D33" s="291">
        <f>M23+SUM($F$27:F32)</f>
        <v>0</v>
      </c>
      <c r="E33" s="286">
        <f>IF(D33&lt;'Tariff Inputs'!$D$84,0,$E$26/12)</f>
        <v>0</v>
      </c>
      <c r="F33" s="288">
        <f>IF(C33&gt;'Capital Costs Details'!$D$155,0,(D33-'Tariff Inputs'!$D$84)*E33)</f>
        <v>0</v>
      </c>
      <c r="J33" s="107"/>
    </row>
    <row r="34" spans="3:10" x14ac:dyDescent="0.2">
      <c r="C34" s="276">
        <v>8</v>
      </c>
      <c r="D34" s="291">
        <f>N23+SUM($F$27:F33)</f>
        <v>0</v>
      </c>
      <c r="E34" s="286">
        <f>IF(D34&lt;'Tariff Inputs'!$D$84,0,$E$26/12)</f>
        <v>0</v>
      </c>
      <c r="F34" s="288">
        <f>IF(C34&gt;'Capital Costs Details'!$D$155,0,(D34-'Tariff Inputs'!$D$84)*E34)</f>
        <v>0</v>
      </c>
    </row>
    <row r="35" spans="3:10" x14ac:dyDescent="0.2">
      <c r="C35" s="276">
        <v>9</v>
      </c>
      <c r="D35" s="291">
        <f>O23+SUM($F$27:F34)</f>
        <v>0</v>
      </c>
      <c r="E35" s="286">
        <f>IF(D35&lt;'Tariff Inputs'!$D$84,0,$E$26/12)</f>
        <v>0</v>
      </c>
      <c r="F35" s="288">
        <f>IF(C35&gt;'Capital Costs Details'!$D$155,0,(D35-'Tariff Inputs'!$D$84)*E35)</f>
        <v>0</v>
      </c>
    </row>
    <row r="36" spans="3:10" x14ac:dyDescent="0.2">
      <c r="C36" s="276">
        <v>10</v>
      </c>
      <c r="D36" s="291">
        <f>P23+SUM($F$27:F35)</f>
        <v>0</v>
      </c>
      <c r="E36" s="286">
        <f>IF(D36&lt;'Tariff Inputs'!$D$84,0,$E$26/12)</f>
        <v>0</v>
      </c>
      <c r="F36" s="288">
        <f>IF(C36&gt;'Capital Costs Details'!$D$155,0,(D36-'Tariff Inputs'!$D$84)*E36)</f>
        <v>0</v>
      </c>
    </row>
    <row r="37" spans="3:10" x14ac:dyDescent="0.2">
      <c r="C37" s="276">
        <v>11</v>
      </c>
      <c r="D37" s="291">
        <f>Q23+SUM($F$27:F36)</f>
        <v>0</v>
      </c>
      <c r="E37" s="286">
        <f>IF(D37&lt;'Tariff Inputs'!$D$84,0,$E$26/12)</f>
        <v>0</v>
      </c>
      <c r="F37" s="288">
        <f>IF(C37&gt;'Capital Costs Details'!$D$155,0,(D37-'Tariff Inputs'!$D$84)*E37)</f>
        <v>0</v>
      </c>
    </row>
    <row r="38" spans="3:10" x14ac:dyDescent="0.2">
      <c r="C38" s="276">
        <v>12</v>
      </c>
      <c r="D38" s="291">
        <f>R23+SUM($F$27:F37)</f>
        <v>0</v>
      </c>
      <c r="E38" s="286">
        <f>IF(D38&lt;'Tariff Inputs'!$D$84,0,$E$26/12)</f>
        <v>0</v>
      </c>
      <c r="F38" s="288">
        <f>IF(C38&gt;'Capital Costs Details'!$D$155,0,(D38-'Tariff Inputs'!$D$84)*E38)</f>
        <v>0</v>
      </c>
    </row>
    <row r="39" spans="3:10" x14ac:dyDescent="0.2">
      <c r="C39" s="276">
        <v>13</v>
      </c>
      <c r="D39" s="291">
        <f>S23++SUM($F$27:F38)</f>
        <v>0</v>
      </c>
      <c r="E39" s="286">
        <f>IF(D39&lt;'Tariff Inputs'!$D$84,0,$E$26/12)</f>
        <v>0</v>
      </c>
      <c r="F39" s="288">
        <f>IF(C39&gt;'Capital Costs Details'!$D$155,0,(D39-'Tariff Inputs'!$D$84)*E39)</f>
        <v>0</v>
      </c>
    </row>
    <row r="40" spans="3:10" x14ac:dyDescent="0.2">
      <c r="C40" s="276">
        <v>14</v>
      </c>
      <c r="D40" s="291">
        <f>T23++SUM($F$27:F39)</f>
        <v>0</v>
      </c>
      <c r="E40" s="286">
        <f>IF(D40&lt;'Tariff Inputs'!$D$84,0,$E$26/12)</f>
        <v>0</v>
      </c>
      <c r="F40" s="288">
        <f>IF(C40&gt;'Capital Costs Details'!$D$155,0,(D40-'Tariff Inputs'!$D$84)*E40)</f>
        <v>0</v>
      </c>
    </row>
    <row r="41" spans="3:10" x14ac:dyDescent="0.2">
      <c r="C41" s="276">
        <v>15</v>
      </c>
      <c r="D41" s="291">
        <f>U23+SUM($F$27:F40)</f>
        <v>0</v>
      </c>
      <c r="E41" s="286">
        <f>IF(D41&lt;'Tariff Inputs'!$D$84,0,$E$26/12)</f>
        <v>0</v>
      </c>
      <c r="F41" s="288">
        <f>IF(C41&gt;'Capital Costs Details'!$D$155,0,(D41-'Tariff Inputs'!$D$84)*E41)</f>
        <v>0</v>
      </c>
    </row>
    <row r="42" spans="3:10" x14ac:dyDescent="0.2">
      <c r="C42" s="276">
        <v>16</v>
      </c>
      <c r="D42" s="291">
        <f>AD23+SUM($F$27:F41)</f>
        <v>0</v>
      </c>
      <c r="E42" s="286">
        <f>IF(D42&lt;'Tariff Inputs'!$D$84,0,$E$26/12)</f>
        <v>0</v>
      </c>
      <c r="F42" s="288">
        <f>IF(C42&gt;'Capital Costs Details'!$D$155,0,(D42-'Tariff Inputs'!$D$84)*E42)</f>
        <v>0</v>
      </c>
    </row>
    <row r="43" spans="3:10" x14ac:dyDescent="0.2">
      <c r="C43" s="276">
        <v>17</v>
      </c>
      <c r="D43" s="291">
        <f t="shared" ref="D43:D50" si="4">D42+F42</f>
        <v>0</v>
      </c>
      <c r="E43" s="286">
        <f>IF(D43&lt;'Tariff Inputs'!$D$84,0,$E$26/12)</f>
        <v>0</v>
      </c>
      <c r="F43" s="288">
        <f>IF(C43&gt;'Capital Costs Details'!$D$155,0,(D43-'Tariff Inputs'!$D$84)*E43)</f>
        <v>0</v>
      </c>
    </row>
    <row r="44" spans="3:10" x14ac:dyDescent="0.2">
      <c r="C44" s="276">
        <v>18</v>
      </c>
      <c r="D44" s="291">
        <f t="shared" si="4"/>
        <v>0</v>
      </c>
      <c r="E44" s="286">
        <f>IF(D44&lt;'Tariff Inputs'!$D$84,0,$E$26/12)</f>
        <v>0</v>
      </c>
      <c r="F44" s="288">
        <f>IF(C44&gt;'Capital Costs Details'!$D$155,0,(D44-'Tariff Inputs'!$D$84)*E44)</f>
        <v>0</v>
      </c>
    </row>
    <row r="45" spans="3:10" x14ac:dyDescent="0.2">
      <c r="C45" s="276">
        <v>19</v>
      </c>
      <c r="D45" s="291">
        <f t="shared" si="4"/>
        <v>0</v>
      </c>
      <c r="E45" s="286">
        <f>IF(D45&lt;'Tariff Inputs'!$D$84,0,$E$26/12)</f>
        <v>0</v>
      </c>
      <c r="F45" s="288">
        <f>IF(C45&gt;'Capital Costs Details'!$D$155,0,(D45-'Tariff Inputs'!$D$84)*E45)</f>
        <v>0</v>
      </c>
    </row>
    <row r="46" spans="3:10" x14ac:dyDescent="0.2">
      <c r="C46" s="276">
        <v>20</v>
      </c>
      <c r="D46" s="291">
        <f t="shared" si="4"/>
        <v>0</v>
      </c>
      <c r="E46" s="286">
        <f>IF(D46&lt;'Tariff Inputs'!$D$84,0,$E$26/12)</f>
        <v>0</v>
      </c>
      <c r="F46" s="288">
        <f>IF(C46&gt;'Capital Costs Details'!$D$155,0,(D46-'Tariff Inputs'!$D$84)*E46)</f>
        <v>0</v>
      </c>
    </row>
    <row r="47" spans="3:10" x14ac:dyDescent="0.2">
      <c r="C47" s="276">
        <v>21</v>
      </c>
      <c r="D47" s="291">
        <f t="shared" si="4"/>
        <v>0</v>
      </c>
      <c r="E47" s="286">
        <f>IF(D47&lt;'Tariff Inputs'!$D$84,0,$E$26/12)</f>
        <v>0</v>
      </c>
      <c r="F47" s="288">
        <f>IF(C47&gt;'Capital Costs Details'!$D$155,0,(D47-'Tariff Inputs'!$D$84)*E47)</f>
        <v>0</v>
      </c>
    </row>
    <row r="48" spans="3:10" x14ac:dyDescent="0.2">
      <c r="C48" s="276">
        <v>22</v>
      </c>
      <c r="D48" s="291">
        <f t="shared" si="4"/>
        <v>0</v>
      </c>
      <c r="E48" s="286">
        <f>IF(D48&lt;'Tariff Inputs'!$D$84,0,$E$26/12)</f>
        <v>0</v>
      </c>
      <c r="F48" s="288">
        <f>IF(C48&gt;'Capital Costs Details'!$D$155,0,(D48-'Tariff Inputs'!$D$84)*E48)</f>
        <v>0</v>
      </c>
    </row>
    <row r="49" spans="3:7" x14ac:dyDescent="0.2">
      <c r="C49" s="276">
        <v>23</v>
      </c>
      <c r="D49" s="291">
        <f t="shared" si="4"/>
        <v>0</v>
      </c>
      <c r="E49" s="286">
        <f>IF(D49&lt;'Tariff Inputs'!$D$84,0,$E$26/12)</f>
        <v>0</v>
      </c>
      <c r="F49" s="288">
        <f>IF(C49&gt;'Capital Costs Details'!$D$155,0,(D49-'Tariff Inputs'!$D$84)*E49)</f>
        <v>0</v>
      </c>
    </row>
    <row r="50" spans="3:7" x14ac:dyDescent="0.2">
      <c r="C50" s="276">
        <v>24</v>
      </c>
      <c r="D50" s="292">
        <f t="shared" si="4"/>
        <v>0</v>
      </c>
      <c r="E50" s="287">
        <f>IF(D50&lt;'Tariff Inputs'!$D$84,0,$E$26/12)</f>
        <v>0</v>
      </c>
      <c r="F50" s="288">
        <f>IF(C50&gt;'Capital Costs Details'!$D$155,0,(D50-'Tariff Inputs'!$D$84)*E50)</f>
        <v>0</v>
      </c>
    </row>
    <row r="51" spans="3:7" x14ac:dyDescent="0.2">
      <c r="C51" s="277" t="s">
        <v>56</v>
      </c>
      <c r="D51" s="278"/>
      <c r="E51" s="279"/>
      <c r="F51" s="289">
        <f>SUM(F27:F50)</f>
        <v>0</v>
      </c>
    </row>
    <row r="52" spans="3:7" x14ac:dyDescent="0.2">
      <c r="D52" s="117"/>
    </row>
    <row r="57" spans="3:7" s="170" customFormat="1" x14ac:dyDescent="0.2"/>
    <row r="58" spans="3:7" s="170" customFormat="1" x14ac:dyDescent="0.2"/>
    <row r="59" spans="3:7" s="170" customFormat="1" x14ac:dyDescent="0.2"/>
    <row r="60" spans="3:7" s="170" customFormat="1" x14ac:dyDescent="0.2"/>
    <row r="61" spans="3:7" s="170" customFormat="1" x14ac:dyDescent="0.2"/>
    <row r="62" spans="3:7" s="170" customFormat="1" x14ac:dyDescent="0.2"/>
    <row r="63" spans="3:7" s="170" customFormat="1" x14ac:dyDescent="0.2"/>
    <row r="64" spans="3:7" s="170" customFormat="1" x14ac:dyDescent="0.2">
      <c r="F64" s="173"/>
      <c r="G64" s="173"/>
    </row>
    <row r="65" spans="6:7" s="170" customFormat="1" x14ac:dyDescent="0.2">
      <c r="F65" s="173"/>
      <c r="G65" s="173"/>
    </row>
    <row r="66" spans="6:7" s="170" customFormat="1" x14ac:dyDescent="0.2"/>
    <row r="67" spans="6:7" s="170" customFormat="1" x14ac:dyDescent="0.2"/>
    <row r="68" spans="6:7" s="170" customFormat="1" x14ac:dyDescent="0.2"/>
    <row r="69" spans="6:7" s="170" customFormat="1" x14ac:dyDescent="0.2"/>
    <row r="70" spans="6:7" s="170" customFormat="1" x14ac:dyDescent="0.2"/>
    <row r="71" spans="6:7" s="170" customFormat="1" x14ac:dyDescent="0.2"/>
    <row r="72" spans="6:7" s="170" customFormat="1" x14ac:dyDescent="0.2"/>
    <row r="73" spans="6:7" s="170" customFormat="1" x14ac:dyDescent="0.2"/>
    <row r="74" spans="6:7" s="170" customFormat="1" x14ac:dyDescent="0.2"/>
    <row r="75" spans="6:7" s="170" customFormat="1" x14ac:dyDescent="0.2"/>
    <row r="76" spans="6:7" s="170" customFormat="1" x14ac:dyDescent="0.2"/>
    <row r="77" spans="6:7" s="170" customFormat="1" x14ac:dyDescent="0.2"/>
    <row r="78" spans="6:7" s="170" customFormat="1" x14ac:dyDescent="0.2"/>
    <row r="79" spans="6:7" s="170" customFormat="1" x14ac:dyDescent="0.2"/>
    <row r="80" spans="6:7" s="170" customFormat="1" x14ac:dyDescent="0.2"/>
    <row r="81" s="170" customFormat="1" x14ac:dyDescent="0.2"/>
    <row r="82" s="170" customFormat="1" x14ac:dyDescent="0.2"/>
    <row r="83" s="170" customFormat="1" x14ac:dyDescent="0.2"/>
    <row r="84" s="170" customFormat="1" x14ac:dyDescent="0.2"/>
    <row r="85" s="170" customFormat="1" x14ac:dyDescent="0.2"/>
    <row r="86" s="170" customFormat="1" x14ac:dyDescent="0.2"/>
    <row r="87" s="170" customFormat="1" x14ac:dyDescent="0.2"/>
    <row r="88" s="170" customFormat="1" x14ac:dyDescent="0.2"/>
    <row r="89" s="170" customFormat="1" x14ac:dyDescent="0.2"/>
    <row r="90" s="170" customFormat="1" x14ac:dyDescent="0.2"/>
    <row r="91" s="170" customFormat="1" x14ac:dyDescent="0.2"/>
    <row r="92" s="170" customFormat="1" x14ac:dyDescent="0.2"/>
    <row r="93" s="170" customFormat="1" x14ac:dyDescent="0.2"/>
    <row r="94" s="170" customFormat="1" x14ac:dyDescent="0.2"/>
    <row r="95" s="170" customFormat="1" x14ac:dyDescent="0.2"/>
    <row r="96" s="170" customFormat="1" x14ac:dyDescent="0.2"/>
    <row r="97" s="170" customFormat="1" x14ac:dyDescent="0.2"/>
    <row r="98" s="170" customFormat="1" x14ac:dyDescent="0.2"/>
    <row r="99" s="170" customFormat="1" x14ac:dyDescent="0.2"/>
    <row r="100" s="170" customFormat="1" x14ac:dyDescent="0.2"/>
    <row r="101" s="170" customFormat="1" x14ac:dyDescent="0.2"/>
    <row r="102" s="170" customFormat="1" x14ac:dyDescent="0.2"/>
    <row r="103" s="170" customFormat="1" x14ac:dyDescent="0.2"/>
    <row r="104" s="170" customFormat="1" x14ac:dyDescent="0.2"/>
    <row r="105" s="170" customFormat="1" x14ac:dyDescent="0.2"/>
    <row r="106" s="170" customFormat="1" x14ac:dyDescent="0.2"/>
    <row r="107" s="170" customFormat="1" x14ac:dyDescent="0.2"/>
    <row r="108" s="170" customFormat="1" x14ac:dyDescent="0.2"/>
    <row r="109" s="170" customFormat="1" x14ac:dyDescent="0.2"/>
    <row r="110" s="170" customFormat="1" x14ac:dyDescent="0.2"/>
    <row r="111" s="170" customFormat="1" x14ac:dyDescent="0.2"/>
    <row r="112" s="170" customFormat="1" x14ac:dyDescent="0.2"/>
    <row r="113" s="170" customFormat="1" x14ac:dyDescent="0.2"/>
    <row r="114" s="170" customFormat="1" x14ac:dyDescent="0.2"/>
    <row r="115" s="170" customFormat="1" x14ac:dyDescent="0.2"/>
    <row r="116" s="170" customFormat="1" x14ac:dyDescent="0.2"/>
    <row r="117" s="170" customFormat="1" x14ac:dyDescent="0.2"/>
    <row r="118" s="170" customFormat="1" x14ac:dyDescent="0.2"/>
    <row r="119" s="170" customFormat="1" x14ac:dyDescent="0.2"/>
    <row r="120" s="170" customFormat="1" x14ac:dyDescent="0.2"/>
    <row r="121" s="170" customFormat="1" x14ac:dyDescent="0.2"/>
    <row r="122" s="170" customFormat="1" x14ac:dyDescent="0.2"/>
    <row r="123" s="170" customFormat="1" x14ac:dyDescent="0.2"/>
    <row r="124" s="170" customFormat="1" x14ac:dyDescent="0.2"/>
    <row r="125" s="170" customFormat="1" x14ac:dyDescent="0.2"/>
    <row r="126" s="170" customFormat="1" x14ac:dyDescent="0.2"/>
    <row r="127" s="170" customFormat="1" x14ac:dyDescent="0.2"/>
    <row r="128" s="170" customFormat="1" x14ac:dyDescent="0.2"/>
    <row r="129" s="170" customFormat="1" x14ac:dyDescent="0.2"/>
    <row r="130" s="170" customFormat="1" x14ac:dyDescent="0.2"/>
    <row r="131" s="170" customFormat="1" x14ac:dyDescent="0.2"/>
    <row r="132" s="170" customFormat="1" x14ac:dyDescent="0.2"/>
    <row r="133" s="170" customFormat="1" x14ac:dyDescent="0.2"/>
    <row r="134" s="170" customFormat="1" x14ac:dyDescent="0.2"/>
    <row r="135" s="170" customFormat="1" x14ac:dyDescent="0.2"/>
    <row r="136" s="170" customFormat="1" x14ac:dyDescent="0.2"/>
    <row r="137" s="170" customFormat="1" x14ac:dyDescent="0.2"/>
    <row r="138" s="170" customFormat="1" x14ac:dyDescent="0.2"/>
    <row r="139" s="170" customFormat="1" x14ac:dyDescent="0.2"/>
    <row r="140" s="170" customFormat="1" x14ac:dyDescent="0.2"/>
    <row r="141" s="170" customFormat="1" x14ac:dyDescent="0.2"/>
    <row r="142" s="170" customFormat="1" x14ac:dyDescent="0.2"/>
    <row r="143" s="170" customFormat="1" x14ac:dyDescent="0.2"/>
    <row r="144" s="170" customFormat="1" x14ac:dyDescent="0.2"/>
    <row r="145" s="170" customFormat="1" x14ac:dyDescent="0.2"/>
    <row r="146" s="170" customFormat="1" x14ac:dyDescent="0.2"/>
    <row r="147" s="170" customFormat="1" x14ac:dyDescent="0.2"/>
    <row r="148" s="170" customFormat="1" x14ac:dyDescent="0.2"/>
    <row r="149" s="170" customFormat="1" x14ac:dyDescent="0.2"/>
    <row r="150" s="170" customFormat="1" x14ac:dyDescent="0.2"/>
    <row r="151" s="170" customFormat="1" x14ac:dyDescent="0.2"/>
    <row r="152" s="170" customFormat="1" x14ac:dyDescent="0.2"/>
    <row r="153" s="170" customFormat="1" x14ac:dyDescent="0.2"/>
    <row r="154" s="170" customFormat="1" x14ac:dyDescent="0.2"/>
    <row r="155" s="170" customFormat="1" x14ac:dyDescent="0.2"/>
    <row r="156" s="170" customFormat="1" x14ac:dyDescent="0.2"/>
    <row r="157" s="170" customFormat="1" x14ac:dyDescent="0.2"/>
    <row r="158" s="170" customFormat="1" x14ac:dyDescent="0.2"/>
    <row r="159" s="170" customFormat="1" x14ac:dyDescent="0.2"/>
    <row r="160" s="170" customFormat="1" x14ac:dyDescent="0.2"/>
    <row r="161" s="170" customFormat="1" x14ac:dyDescent="0.2"/>
    <row r="162" s="170" customFormat="1" x14ac:dyDescent="0.2"/>
    <row r="163" s="170" customFormat="1" x14ac:dyDescent="0.2"/>
    <row r="164" s="170" customFormat="1" x14ac:dyDescent="0.2"/>
    <row r="165" s="170" customFormat="1" x14ac:dyDescent="0.2"/>
    <row r="166" s="170" customFormat="1" x14ac:dyDescent="0.2"/>
    <row r="167" s="170" customFormat="1" x14ac:dyDescent="0.2"/>
    <row r="168" s="170" customFormat="1" x14ac:dyDescent="0.2"/>
    <row r="169" s="170" customFormat="1" x14ac:dyDescent="0.2"/>
    <row r="170" s="170" customFormat="1" x14ac:dyDescent="0.2"/>
    <row r="171" s="170" customFormat="1" x14ac:dyDescent="0.2"/>
    <row r="172" s="170" customFormat="1" x14ac:dyDescent="0.2"/>
    <row r="173" s="170" customFormat="1" x14ac:dyDescent="0.2"/>
    <row r="174" s="170" customFormat="1" x14ac:dyDescent="0.2"/>
    <row r="175" s="170" customFormat="1" x14ac:dyDescent="0.2"/>
    <row r="176" s="170" customFormat="1" x14ac:dyDescent="0.2"/>
    <row r="177" s="170" customFormat="1" x14ac:dyDescent="0.2"/>
    <row r="178" s="170" customFormat="1" x14ac:dyDescent="0.2"/>
    <row r="179" s="170" customFormat="1" x14ac:dyDescent="0.2"/>
    <row r="180" s="170" customFormat="1" x14ac:dyDescent="0.2"/>
    <row r="181" s="170" customFormat="1" x14ac:dyDescent="0.2"/>
    <row r="182" s="170" customFormat="1" x14ac:dyDescent="0.2"/>
    <row r="183" s="170" customFormat="1" x14ac:dyDescent="0.2"/>
    <row r="184" s="170" customFormat="1" x14ac:dyDescent="0.2"/>
    <row r="185" s="170" customFormat="1" x14ac:dyDescent="0.2"/>
    <row r="186" s="170" customFormat="1" x14ac:dyDescent="0.2"/>
    <row r="187" s="170" customFormat="1" x14ac:dyDescent="0.2"/>
    <row r="188" s="170" customFormat="1" x14ac:dyDescent="0.2"/>
    <row r="189" s="170" customFormat="1" x14ac:dyDescent="0.2"/>
    <row r="190" s="170" customFormat="1" x14ac:dyDescent="0.2"/>
    <row r="191" s="170" customFormat="1" x14ac:dyDescent="0.2"/>
    <row r="192" s="170" customFormat="1" x14ac:dyDescent="0.2"/>
    <row r="193" s="170" customFormat="1" x14ac:dyDescent="0.2"/>
    <row r="194" s="170" customFormat="1" x14ac:dyDescent="0.2"/>
    <row r="195" s="170" customFormat="1" x14ac:dyDescent="0.2"/>
    <row r="196" s="170" customFormat="1" x14ac:dyDescent="0.2"/>
    <row r="197" s="170" customFormat="1" x14ac:dyDescent="0.2"/>
    <row r="198" s="170" customFormat="1" x14ac:dyDescent="0.2"/>
    <row r="199" s="170" customFormat="1" x14ac:dyDescent="0.2"/>
    <row r="200" s="170" customFormat="1" x14ac:dyDescent="0.2"/>
    <row r="201" s="170" customFormat="1" x14ac:dyDescent="0.2"/>
    <row r="202" s="170" customFormat="1" x14ac:dyDescent="0.2"/>
    <row r="203" s="170" customFormat="1" x14ac:dyDescent="0.2"/>
    <row r="204" s="170" customFormat="1" x14ac:dyDescent="0.2"/>
    <row r="205" s="170" customFormat="1" x14ac:dyDescent="0.2"/>
    <row r="206" s="170" customFormat="1" x14ac:dyDescent="0.2"/>
    <row r="207" s="170" customFormat="1" x14ac:dyDescent="0.2"/>
    <row r="208" s="170" customFormat="1" x14ac:dyDescent="0.2"/>
    <row r="209" s="170" customFormat="1" x14ac:dyDescent="0.2"/>
    <row r="210" s="170" customFormat="1" x14ac:dyDescent="0.2"/>
    <row r="211" s="170" customFormat="1" x14ac:dyDescent="0.2"/>
    <row r="212" s="170" customFormat="1" x14ac:dyDescent="0.2"/>
    <row r="213" s="170" customFormat="1" x14ac:dyDescent="0.2"/>
    <row r="214" s="170" customFormat="1" x14ac:dyDescent="0.2"/>
    <row r="215" s="170" customFormat="1" x14ac:dyDescent="0.2"/>
    <row r="216" s="170" customFormat="1" x14ac:dyDescent="0.2"/>
    <row r="217" s="170" customFormat="1" x14ac:dyDescent="0.2"/>
    <row r="218" s="170" customFormat="1" x14ac:dyDescent="0.2"/>
    <row r="219" s="170" customFormat="1" x14ac:dyDescent="0.2"/>
    <row r="220" s="170" customFormat="1" x14ac:dyDescent="0.2"/>
    <row r="221" s="170" customFormat="1" x14ac:dyDescent="0.2"/>
    <row r="222" s="170" customFormat="1" x14ac:dyDescent="0.2"/>
    <row r="223" s="170" customFormat="1" x14ac:dyDescent="0.2"/>
    <row r="224" s="170" customFormat="1" x14ac:dyDescent="0.2"/>
    <row r="225" s="170" customFormat="1" x14ac:dyDescent="0.2"/>
    <row r="226" s="170" customFormat="1" x14ac:dyDescent="0.2"/>
    <row r="227" s="170" customFormat="1" x14ac:dyDescent="0.2"/>
    <row r="228" s="170" customFormat="1" x14ac:dyDescent="0.2"/>
    <row r="229" s="170" customFormat="1" x14ac:dyDescent="0.2"/>
    <row r="230" s="170" customFormat="1" x14ac:dyDescent="0.2"/>
    <row r="231" s="170" customFormat="1" x14ac:dyDescent="0.2"/>
    <row r="232" s="170" customFormat="1" x14ac:dyDescent="0.2"/>
    <row r="233" s="170" customFormat="1" x14ac:dyDescent="0.2"/>
    <row r="234" s="170" customFormat="1" x14ac:dyDescent="0.2"/>
    <row r="235" s="170" customFormat="1" x14ac:dyDescent="0.2"/>
    <row r="236" s="170" customFormat="1" x14ac:dyDescent="0.2"/>
    <row r="237" s="170" customFormat="1" x14ac:dyDescent="0.2"/>
    <row r="238" s="170" customFormat="1" x14ac:dyDescent="0.2"/>
    <row r="239" s="170" customFormat="1" x14ac:dyDescent="0.2"/>
    <row r="240" s="170" customFormat="1" x14ac:dyDescent="0.2"/>
    <row r="241" s="170" customFormat="1" x14ac:dyDescent="0.2"/>
    <row r="242" s="170" customFormat="1" x14ac:dyDescent="0.2"/>
    <row r="243" s="170" customFormat="1" x14ac:dyDescent="0.2"/>
    <row r="244" s="170" customFormat="1" x14ac:dyDescent="0.2"/>
    <row r="245" s="170" customFormat="1" x14ac:dyDescent="0.2"/>
    <row r="246" s="170" customFormat="1" x14ac:dyDescent="0.2"/>
    <row r="247" s="170" customFormat="1" x14ac:dyDescent="0.2"/>
    <row r="248" s="170" customFormat="1" x14ac:dyDescent="0.2"/>
    <row r="249" s="170" customFormat="1" x14ac:dyDescent="0.2"/>
    <row r="250" s="170" customFormat="1" x14ac:dyDescent="0.2"/>
    <row r="251" s="170" customFormat="1" x14ac:dyDescent="0.2"/>
    <row r="252" s="170" customFormat="1" x14ac:dyDescent="0.2"/>
    <row r="253" s="170" customFormat="1" x14ac:dyDescent="0.2"/>
    <row r="254" s="170" customFormat="1" x14ac:dyDescent="0.2"/>
    <row r="255" s="170" customFormat="1" x14ac:dyDescent="0.2"/>
    <row r="256" s="170" customFormat="1" x14ac:dyDescent="0.2"/>
    <row r="257" s="170" customFormat="1" x14ac:dyDescent="0.2"/>
    <row r="258" s="170" customFormat="1" x14ac:dyDescent="0.2"/>
    <row r="259" s="170" customFormat="1" x14ac:dyDescent="0.2"/>
    <row r="260" s="170" customFormat="1" x14ac:dyDescent="0.2"/>
    <row r="261" s="170" customFormat="1" x14ac:dyDescent="0.2"/>
    <row r="262" s="170" customFormat="1" x14ac:dyDescent="0.2"/>
    <row r="263" s="170" customFormat="1" x14ac:dyDescent="0.2"/>
    <row r="264" s="170" customFormat="1" x14ac:dyDescent="0.2"/>
    <row r="265" s="170" customFormat="1" x14ac:dyDescent="0.2"/>
    <row r="266" s="170" customFormat="1" x14ac:dyDescent="0.2"/>
    <row r="267" s="170" customFormat="1" x14ac:dyDescent="0.2"/>
    <row r="268" s="170" customFormat="1" x14ac:dyDescent="0.2"/>
    <row r="269" s="170" customFormat="1" x14ac:dyDescent="0.2"/>
    <row r="270" s="170" customFormat="1" x14ac:dyDescent="0.2"/>
    <row r="271" s="170" customFormat="1" x14ac:dyDescent="0.2"/>
    <row r="272" s="170" customFormat="1" x14ac:dyDescent="0.2"/>
    <row r="273" s="170" customFormat="1" x14ac:dyDescent="0.2"/>
    <row r="274" s="170" customFormat="1" x14ac:dyDescent="0.2"/>
    <row r="275" s="170" customFormat="1" x14ac:dyDescent="0.2"/>
    <row r="276" s="170" customFormat="1" x14ac:dyDescent="0.2"/>
    <row r="277" s="170" customFormat="1" x14ac:dyDescent="0.2"/>
    <row r="278" s="170" customFormat="1" x14ac:dyDescent="0.2"/>
    <row r="279" s="170" customFormat="1" x14ac:dyDescent="0.2"/>
    <row r="280" s="170" customFormat="1" x14ac:dyDescent="0.2"/>
    <row r="281" s="170" customFormat="1" x14ac:dyDescent="0.2"/>
    <row r="282" s="170" customFormat="1" x14ac:dyDescent="0.2"/>
    <row r="283" s="170" customFormat="1" x14ac:dyDescent="0.2"/>
    <row r="284" s="170" customFormat="1" x14ac:dyDescent="0.2"/>
    <row r="285" s="170" customFormat="1" x14ac:dyDescent="0.2"/>
    <row r="286" s="170" customFormat="1" x14ac:dyDescent="0.2"/>
    <row r="287" s="170" customFormat="1" x14ac:dyDescent="0.2"/>
    <row r="288" s="170" customFormat="1" x14ac:dyDescent="0.2"/>
    <row r="289" s="170" customFormat="1" x14ac:dyDescent="0.2"/>
    <row r="290" s="170" customFormat="1" x14ac:dyDescent="0.2"/>
    <row r="291" s="170" customFormat="1" x14ac:dyDescent="0.2"/>
    <row r="292" s="170" customFormat="1" x14ac:dyDescent="0.2"/>
    <row r="293" s="170" customFormat="1" x14ac:dyDescent="0.2"/>
    <row r="294" s="170" customFormat="1" x14ac:dyDescent="0.2"/>
    <row r="295" s="170" customFormat="1" x14ac:dyDescent="0.2"/>
    <row r="296" s="170" customFormat="1" x14ac:dyDescent="0.2"/>
    <row r="297" s="170" customFormat="1" x14ac:dyDescent="0.2"/>
    <row r="298" s="170" customFormat="1" x14ac:dyDescent="0.2"/>
    <row r="299" s="170" customFormat="1" x14ac:dyDescent="0.2"/>
    <row r="300" s="170" customFormat="1" x14ac:dyDescent="0.2"/>
    <row r="301" s="170" customFormat="1" x14ac:dyDescent="0.2"/>
    <row r="302" s="170" customFormat="1" x14ac:dyDescent="0.2"/>
    <row r="303" s="170" customFormat="1" x14ac:dyDescent="0.2"/>
    <row r="304" s="170" customFormat="1" x14ac:dyDescent="0.2"/>
    <row r="305" s="170" customFormat="1" x14ac:dyDescent="0.2"/>
    <row r="306" s="170" customFormat="1" x14ac:dyDescent="0.2"/>
    <row r="307" s="170" customFormat="1" x14ac:dyDescent="0.2"/>
    <row r="308" s="170" customFormat="1" x14ac:dyDescent="0.2"/>
    <row r="309" s="170" customFormat="1" x14ac:dyDescent="0.2"/>
    <row r="310" s="170" customFormat="1" x14ac:dyDescent="0.2"/>
    <row r="311" s="170" customFormat="1" x14ac:dyDescent="0.2"/>
    <row r="312" s="170" customFormat="1" x14ac:dyDescent="0.2"/>
    <row r="313" s="170" customFormat="1" x14ac:dyDescent="0.2"/>
    <row r="314" s="170" customFormat="1" x14ac:dyDescent="0.2"/>
    <row r="315" s="170" customFormat="1" x14ac:dyDescent="0.2"/>
    <row r="316" s="170" customFormat="1" x14ac:dyDescent="0.2"/>
    <row r="317" s="170" customFormat="1" x14ac:dyDescent="0.2"/>
    <row r="318" s="170" customFormat="1" x14ac:dyDescent="0.2"/>
    <row r="319" s="170" customFormat="1" x14ac:dyDescent="0.2"/>
    <row r="320" s="170" customFormat="1" x14ac:dyDescent="0.2"/>
    <row r="321" s="170" customFormat="1" x14ac:dyDescent="0.2"/>
    <row r="322" s="170" customFormat="1" x14ac:dyDescent="0.2"/>
    <row r="323" s="170" customFormat="1" x14ac:dyDescent="0.2"/>
    <row r="324" s="170" customFormat="1" x14ac:dyDescent="0.2"/>
    <row r="325" s="170" customFormat="1" x14ac:dyDescent="0.2"/>
    <row r="326" s="170" customFormat="1" x14ac:dyDescent="0.2"/>
    <row r="327" s="170" customFormat="1" x14ac:dyDescent="0.2"/>
    <row r="328" s="170" customFormat="1" x14ac:dyDescent="0.2"/>
    <row r="329" s="170" customFormat="1" x14ac:dyDescent="0.2"/>
    <row r="330" s="170" customFormat="1" x14ac:dyDescent="0.2"/>
    <row r="331" s="170" customFormat="1" x14ac:dyDescent="0.2"/>
    <row r="332" s="170" customFormat="1" x14ac:dyDescent="0.2"/>
    <row r="333" s="170" customFormat="1" x14ac:dyDescent="0.2"/>
    <row r="334" s="170" customFormat="1" x14ac:dyDescent="0.2"/>
    <row r="335" s="170" customFormat="1" x14ac:dyDescent="0.2"/>
    <row r="336" s="170" customFormat="1" x14ac:dyDescent="0.2"/>
    <row r="337" s="170" customFormat="1" x14ac:dyDescent="0.2"/>
    <row r="338" s="170" customFormat="1" x14ac:dyDescent="0.2"/>
    <row r="339" s="170" customFormat="1" x14ac:dyDescent="0.2"/>
    <row r="340" s="170" customFormat="1" x14ac:dyDescent="0.2"/>
    <row r="341" s="170" customFormat="1" x14ac:dyDescent="0.2"/>
    <row r="342" s="170" customFormat="1" x14ac:dyDescent="0.2"/>
    <row r="343" s="170" customFormat="1" x14ac:dyDescent="0.2"/>
    <row r="344" s="170" customFormat="1" x14ac:dyDescent="0.2"/>
    <row r="345" s="170" customFormat="1" x14ac:dyDescent="0.2"/>
    <row r="346" s="170" customFormat="1" x14ac:dyDescent="0.2"/>
    <row r="347" s="170" customFormat="1" x14ac:dyDescent="0.2"/>
    <row r="348" s="170" customFormat="1" x14ac:dyDescent="0.2"/>
  </sheetData>
  <mergeCells count="20">
    <mergeCell ref="C11:AD11"/>
    <mergeCell ref="C15:AD15"/>
    <mergeCell ref="D19:AD19"/>
    <mergeCell ref="C8:E8"/>
    <mergeCell ref="C5:J5"/>
    <mergeCell ref="G6:AD6"/>
    <mergeCell ref="F6:F7"/>
    <mergeCell ref="C17:E17"/>
    <mergeCell ref="C16:E16"/>
    <mergeCell ref="C14:E14"/>
    <mergeCell ref="C13:E13"/>
    <mergeCell ref="C12:E12"/>
    <mergeCell ref="C10:E10"/>
    <mergeCell ref="C9:E9"/>
    <mergeCell ref="C6:E7"/>
    <mergeCell ref="C23:E23"/>
    <mergeCell ref="C21:E21"/>
    <mergeCell ref="C22:E22"/>
    <mergeCell ref="C20:E20"/>
    <mergeCell ref="C18:E18"/>
  </mergeCells>
  <dataValidations count="4">
    <dataValidation type="custom" allowBlank="1" showInputMessage="1" showErrorMessage="1" errorTitle="Error" error="You can only enter inputs on the respective  % of completion rows" promptTitle="Note" prompt="No inputs required on this cell" sqref="G16:AD16 G12:AD12 F12 D24:E24 C18:C24 F16 C14:C16 C10:C12 F10 F14 F18:AD18 F20:AD24">
      <formula1>0</formula1>
    </dataValidation>
    <dataValidation type="custom" allowBlank="1" showInputMessage="1" showErrorMessage="1" promptTitle="Note" prompt="The cells are linked for formulaic calculations. No inputs required on this cells. " sqref="D25:E26 F25:F26 C25">
      <formula1>0</formula1>
    </dataValidation>
    <dataValidation allowBlank="1" showInputMessage="1" showErrorMessage="1" errorTitle="Error" error="You can only enter inputs on the respective  % of completion rows" promptTitle="Note" prompt="No inputs required on this cell" sqref="G10:AD10 G14:AD14"/>
    <dataValidation type="custom" allowBlank="1" showInputMessage="1" showErrorMessage="1" errorTitle="Error" error="No direct entries allowed on this cell" promptTitle="Note" prompt="The cells are linked for automatic calculations. No inputs required on this cell" sqref="C27:F51">
      <formula1>0</formula1>
    </dataValidation>
  </dataValidations>
  <pageMargins left="0.70866141732283472" right="0.70866141732283472" top="0.74803149606299213" bottom="0.74803149606299213" header="0.31496062992125984" footer="0.31496062992125984"/>
  <pageSetup scale="72" fitToWidth="2" orientation="landscape" r:id="rId1"/>
  <headerFooter>
    <oddHeader>&amp;C&amp;A</oddHead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T41"/>
  <sheetViews>
    <sheetView showGridLines="0" zoomScaleNormal="100" workbookViewId="0">
      <selection activeCell="S9" sqref="S9"/>
    </sheetView>
  </sheetViews>
  <sheetFormatPr defaultColWidth="9.140625" defaultRowHeight="15" x14ac:dyDescent="0.25"/>
  <cols>
    <col min="1" max="2" width="1.42578125" style="303" customWidth="1"/>
    <col min="3" max="3" width="14" style="303" bestFit="1" customWidth="1"/>
    <col min="4" max="4" width="12.5703125" style="303" customWidth="1"/>
    <col min="5" max="5" width="12.42578125" style="303" customWidth="1"/>
    <col min="6" max="6" width="11.42578125" style="303" customWidth="1"/>
    <col min="7" max="7" width="12.28515625" style="303" customWidth="1"/>
    <col min="8" max="8" width="12.42578125" style="303" customWidth="1"/>
    <col min="9" max="16384" width="9.140625" style="303"/>
  </cols>
  <sheetData>
    <row r="1" spans="2:20" ht="7.5" customHeight="1" x14ac:dyDescent="0.25"/>
    <row r="2" spans="2:20" ht="7.5" customHeight="1" x14ac:dyDescent="0.25">
      <c r="B2" s="144"/>
      <c r="C2" s="144"/>
      <c r="D2" s="144"/>
      <c r="E2" s="144"/>
      <c r="F2" s="144"/>
      <c r="G2" s="144"/>
      <c r="H2" s="144"/>
      <c r="I2" s="144"/>
      <c r="J2" s="144"/>
      <c r="K2" s="144"/>
      <c r="L2" s="144"/>
      <c r="M2" s="144"/>
      <c r="N2" s="144"/>
      <c r="O2" s="144"/>
      <c r="P2" s="144"/>
      <c r="Q2" s="144"/>
      <c r="R2" s="144"/>
      <c r="S2" s="144"/>
      <c r="T2" s="144"/>
    </row>
    <row r="3" spans="2:20" s="170" customFormat="1" ht="15" customHeight="1" x14ac:dyDescent="0.3">
      <c r="B3" s="175"/>
      <c r="C3" s="304" t="s">
        <v>385</v>
      </c>
      <c r="D3" s="175"/>
      <c r="E3" s="175"/>
      <c r="F3" s="175"/>
      <c r="G3" s="175"/>
      <c r="H3" s="175"/>
      <c r="I3" s="175"/>
      <c r="J3" s="175"/>
      <c r="K3" s="175"/>
      <c r="L3" s="175"/>
      <c r="M3" s="175"/>
      <c r="N3" s="175"/>
      <c r="O3" s="175"/>
      <c r="P3" s="175"/>
      <c r="Q3" s="175"/>
      <c r="R3" s="175"/>
      <c r="S3" s="175"/>
      <c r="T3" s="175"/>
    </row>
    <row r="4" spans="2:20" s="170" customFormat="1" ht="12.75" x14ac:dyDescent="0.2">
      <c r="B4" s="175"/>
      <c r="C4" s="305"/>
      <c r="D4" s="175"/>
      <c r="E4" s="175"/>
      <c r="F4" s="175"/>
      <c r="G4" s="54"/>
      <c r="H4" s="54"/>
      <c r="I4" s="175"/>
      <c r="J4" s="175"/>
      <c r="K4" s="175"/>
      <c r="L4" s="175"/>
      <c r="M4" s="175"/>
      <c r="N4" s="175"/>
      <c r="O4" s="175"/>
      <c r="P4" s="175"/>
      <c r="Q4" s="175"/>
      <c r="R4" s="175"/>
      <c r="S4" s="175"/>
      <c r="T4" s="175"/>
    </row>
    <row r="5" spans="2:20" x14ac:dyDescent="0.25">
      <c r="B5" s="144"/>
      <c r="C5" s="309" t="s">
        <v>386</v>
      </c>
      <c r="D5" s="310"/>
      <c r="E5" s="310"/>
      <c r="F5" s="311"/>
      <c r="G5" s="312"/>
      <c r="H5" s="312"/>
      <c r="I5" s="312"/>
      <c r="J5" s="312"/>
      <c r="K5" s="144"/>
      <c r="L5" s="144"/>
      <c r="M5" s="144"/>
      <c r="N5" s="144"/>
      <c r="O5" s="144"/>
      <c r="P5" s="144"/>
      <c r="Q5" s="144"/>
      <c r="R5" s="144"/>
      <c r="S5" s="144"/>
      <c r="T5" s="144"/>
    </row>
    <row r="6" spans="2:20" x14ac:dyDescent="0.25">
      <c r="B6" s="144"/>
      <c r="C6" s="740" t="s">
        <v>259</v>
      </c>
      <c r="D6" s="313" t="s">
        <v>332</v>
      </c>
      <c r="E6" s="313"/>
      <c r="F6" s="327"/>
      <c r="G6" s="326"/>
      <c r="H6" s="740" t="s">
        <v>260</v>
      </c>
      <c r="I6" s="144"/>
      <c r="J6" s="144"/>
      <c r="K6" s="144"/>
      <c r="L6" s="144"/>
      <c r="M6" s="144"/>
      <c r="N6" s="144"/>
      <c r="O6" s="144"/>
      <c r="P6" s="144"/>
      <c r="Q6" s="144"/>
      <c r="R6" s="144"/>
      <c r="S6" s="144"/>
      <c r="T6" s="144"/>
    </row>
    <row r="7" spans="2:20" x14ac:dyDescent="0.25">
      <c r="B7" s="144"/>
      <c r="C7" s="741"/>
      <c r="D7" s="307" t="str">
        <f>'Tariff Inputs'!C102</f>
        <v>Households</v>
      </c>
      <c r="E7" s="307" t="str">
        <f>'Tariff Inputs'!C103</f>
        <v>Institutions</v>
      </c>
      <c r="F7" s="307" t="str">
        <f>'Tariff Inputs'!C104</f>
        <v>Business</v>
      </c>
      <c r="G7" s="307" t="str">
        <f>'Tariff Inputs'!C105</f>
        <v>Anchor</v>
      </c>
      <c r="H7" s="741"/>
      <c r="I7" s="144"/>
      <c r="J7" s="144"/>
      <c r="K7" s="144"/>
      <c r="L7" s="144"/>
      <c r="M7" s="144"/>
      <c r="N7" s="144"/>
      <c r="O7" s="144"/>
      <c r="P7" s="144"/>
      <c r="Q7" s="144"/>
      <c r="R7" s="144"/>
      <c r="S7" s="144"/>
      <c r="T7" s="144"/>
    </row>
    <row r="8" spans="2:20" x14ac:dyDescent="0.25">
      <c r="B8" s="144"/>
      <c r="C8" s="324">
        <v>2.0833333333333332E-2</v>
      </c>
      <c r="D8" s="323">
        <v>7.6860000000000012E-2</v>
      </c>
      <c r="E8" s="314">
        <v>7.4799999999999991E-2</v>
      </c>
      <c r="F8" s="314">
        <v>1.3703999999999998</v>
      </c>
      <c r="G8" s="314">
        <v>2.0250000000000001E-2</v>
      </c>
      <c r="H8" s="493">
        <f>SUM(D8:G8)</f>
        <v>1.5423099999999998</v>
      </c>
      <c r="I8" s="144"/>
      <c r="J8" s="144"/>
      <c r="K8" s="144"/>
      <c r="L8" s="144"/>
      <c r="M8" s="144"/>
      <c r="N8" s="144"/>
      <c r="O8" s="144"/>
      <c r="P8" s="144"/>
      <c r="Q8" s="144"/>
      <c r="R8" s="144"/>
      <c r="S8" s="144"/>
      <c r="T8" s="144"/>
    </row>
    <row r="9" spans="2:20" x14ac:dyDescent="0.25">
      <c r="B9" s="144"/>
      <c r="C9" s="324">
        <v>6.25E-2</v>
      </c>
      <c r="D9" s="323">
        <v>5.9068333333333341E-2</v>
      </c>
      <c r="E9" s="314">
        <v>0.08</v>
      </c>
      <c r="F9" s="314">
        <v>0.27813225806451614</v>
      </c>
      <c r="G9" s="314">
        <v>0.03</v>
      </c>
      <c r="H9" s="315">
        <f t="shared" ref="H9:H32" si="0">SUM(D9:G9)</f>
        <v>0.44720059139784951</v>
      </c>
      <c r="I9" s="144"/>
      <c r="J9" s="144"/>
      <c r="K9" s="144"/>
      <c r="L9" s="144"/>
      <c r="M9" s="144"/>
      <c r="N9" s="144"/>
      <c r="O9" s="144"/>
      <c r="P9" s="144"/>
      <c r="Q9" s="144"/>
      <c r="R9" s="144"/>
      <c r="S9" s="144"/>
      <c r="T9" s="144"/>
    </row>
    <row r="10" spans="2:20" x14ac:dyDescent="0.25">
      <c r="B10" s="144"/>
      <c r="C10" s="324">
        <v>0.10416666666666667</v>
      </c>
      <c r="D10" s="323">
        <v>5.9068333333333341E-2</v>
      </c>
      <c r="E10" s="314">
        <v>0.09</v>
      </c>
      <c r="F10" s="314">
        <v>0.19616612903225805</v>
      </c>
      <c r="G10" s="314">
        <v>0.03</v>
      </c>
      <c r="H10" s="315">
        <f t="shared" si="0"/>
        <v>0.37523446236559144</v>
      </c>
      <c r="I10" s="144"/>
      <c r="J10" s="144"/>
      <c r="K10" s="144"/>
      <c r="L10" s="144"/>
      <c r="M10" s="144"/>
      <c r="N10" s="144"/>
      <c r="O10" s="144"/>
      <c r="P10" s="144"/>
      <c r="Q10" s="144"/>
      <c r="R10" s="144"/>
      <c r="S10" s="144"/>
      <c r="T10" s="144"/>
    </row>
    <row r="11" spans="2:20" x14ac:dyDescent="0.25">
      <c r="B11" s="144"/>
      <c r="C11" s="324">
        <v>0.14583333333333334</v>
      </c>
      <c r="D11" s="323">
        <v>5.9068333333333341E-2</v>
      </c>
      <c r="E11" s="314">
        <v>0.12</v>
      </c>
      <c r="F11" s="314">
        <v>0.19616612903225805</v>
      </c>
      <c r="G11" s="314">
        <v>0.12</v>
      </c>
      <c r="H11" s="315">
        <f t="shared" si="0"/>
        <v>0.49523446236559138</v>
      </c>
      <c r="I11" s="144"/>
      <c r="J11" s="144"/>
      <c r="K11" s="144"/>
      <c r="L11" s="144"/>
      <c r="M11" s="144"/>
      <c r="N11" s="144"/>
      <c r="O11" s="144"/>
      <c r="P11" s="144"/>
      <c r="Q11" s="144"/>
      <c r="R11" s="144"/>
      <c r="S11" s="144"/>
      <c r="T11" s="144"/>
    </row>
    <row r="12" spans="2:20" x14ac:dyDescent="0.25">
      <c r="B12" s="144"/>
      <c r="C12" s="324">
        <v>0.1875</v>
      </c>
      <c r="D12" s="323">
        <v>0.1693766666666667</v>
      </c>
      <c r="E12" s="314">
        <v>0.13532</v>
      </c>
      <c r="F12" s="314">
        <v>0.19616612903225805</v>
      </c>
      <c r="G12" s="314">
        <v>0.16200000000000001</v>
      </c>
      <c r="H12" s="315">
        <f t="shared" si="0"/>
        <v>0.66286279569892481</v>
      </c>
      <c r="I12" s="144"/>
      <c r="J12" s="144"/>
      <c r="K12" s="144"/>
      <c r="L12" s="144"/>
      <c r="M12" s="144"/>
      <c r="N12" s="144"/>
      <c r="O12" s="144"/>
      <c r="P12" s="144"/>
      <c r="Q12" s="144"/>
      <c r="R12" s="144"/>
      <c r="S12" s="144"/>
      <c r="T12" s="144"/>
    </row>
    <row r="13" spans="2:20" x14ac:dyDescent="0.25">
      <c r="B13" s="144"/>
      <c r="C13" s="324">
        <v>0.22916666666666666</v>
      </c>
      <c r="D13" s="323">
        <v>5.9068333333333341E-2</v>
      </c>
      <c r="E13" s="314">
        <v>0.1</v>
      </c>
      <c r="F13" s="314">
        <v>0.19616612903225805</v>
      </c>
      <c r="G13" s="314">
        <v>0.2</v>
      </c>
      <c r="H13" s="315">
        <f t="shared" si="0"/>
        <v>0.55523446236559137</v>
      </c>
      <c r="I13" s="144"/>
      <c r="J13" s="144"/>
      <c r="K13" s="144"/>
      <c r="L13" s="144"/>
      <c r="M13" s="144"/>
      <c r="N13" s="144"/>
      <c r="O13" s="144"/>
      <c r="P13" s="144"/>
      <c r="Q13" s="144"/>
      <c r="R13" s="144"/>
      <c r="S13" s="144"/>
      <c r="T13" s="144"/>
    </row>
    <row r="14" spans="2:20" x14ac:dyDescent="0.25">
      <c r="B14" s="144"/>
      <c r="C14" s="324">
        <v>0.27083333333333331</v>
      </c>
      <c r="D14" s="323">
        <v>0.27399166666666674</v>
      </c>
      <c r="E14" s="314">
        <v>0</v>
      </c>
      <c r="F14" s="314">
        <v>0.96333225806451606</v>
      </c>
      <c r="G14" s="314">
        <v>0.22500000000000001</v>
      </c>
      <c r="H14" s="315">
        <f t="shared" si="0"/>
        <v>1.4623239247311828</v>
      </c>
      <c r="I14" s="144"/>
      <c r="J14" s="144"/>
      <c r="K14" s="144"/>
      <c r="L14" s="144"/>
      <c r="M14" s="144"/>
      <c r="N14" s="144"/>
      <c r="O14" s="144"/>
      <c r="P14" s="144"/>
      <c r="Q14" s="144"/>
      <c r="R14" s="144"/>
      <c r="S14" s="144"/>
      <c r="T14" s="144"/>
    </row>
    <row r="15" spans="2:20" x14ac:dyDescent="0.25">
      <c r="B15" s="144"/>
      <c r="C15" s="324">
        <v>0.3125</v>
      </c>
      <c r="D15" s="323">
        <v>6.3338333333333344E-2</v>
      </c>
      <c r="E15" s="314">
        <v>0</v>
      </c>
      <c r="F15" s="314">
        <v>1.1756153225806452</v>
      </c>
      <c r="G15" s="314">
        <v>1.798</v>
      </c>
      <c r="H15" s="315">
        <f t="shared" si="0"/>
        <v>3.0369536559139787</v>
      </c>
      <c r="I15" s="144"/>
      <c r="J15" s="144"/>
      <c r="K15" s="144"/>
      <c r="L15" s="144"/>
      <c r="M15" s="144"/>
      <c r="N15" s="144"/>
      <c r="O15" s="144"/>
      <c r="P15" s="144"/>
      <c r="Q15" s="144"/>
      <c r="R15" s="144"/>
      <c r="S15" s="144"/>
      <c r="T15" s="144"/>
    </row>
    <row r="16" spans="2:20" x14ac:dyDescent="0.25">
      <c r="B16" s="144"/>
      <c r="C16" s="324">
        <v>0.35416666666666669</v>
      </c>
      <c r="D16" s="323">
        <v>3.3448333333333337E-2</v>
      </c>
      <c r="E16" s="314">
        <v>0</v>
      </c>
      <c r="F16" s="314">
        <v>2.1278959677419351</v>
      </c>
      <c r="G16" s="314">
        <v>1.798</v>
      </c>
      <c r="H16" s="315">
        <f t="shared" si="0"/>
        <v>3.9593443010752685</v>
      </c>
      <c r="I16" s="144"/>
      <c r="J16" s="144"/>
      <c r="K16" s="144"/>
      <c r="L16" s="144"/>
      <c r="M16" s="144"/>
      <c r="N16" s="144"/>
      <c r="O16" s="144"/>
      <c r="P16" s="144"/>
      <c r="Q16" s="144"/>
      <c r="R16" s="144"/>
      <c r="S16" s="144"/>
      <c r="T16" s="144"/>
    </row>
    <row r="17" spans="2:20" x14ac:dyDescent="0.25">
      <c r="B17" s="144"/>
      <c r="C17" s="324">
        <v>0.39583333333333331</v>
      </c>
      <c r="D17" s="323">
        <v>0.24339000000000005</v>
      </c>
      <c r="E17" s="314">
        <v>0</v>
      </c>
      <c r="F17" s="314">
        <v>2.4133959677419354</v>
      </c>
      <c r="G17" s="314">
        <v>7.4681999999999995</v>
      </c>
      <c r="H17" s="315">
        <f t="shared" si="0"/>
        <v>10.124985967741935</v>
      </c>
      <c r="I17" s="144"/>
      <c r="J17" s="144"/>
      <c r="K17" s="144"/>
      <c r="L17" s="144"/>
      <c r="M17" s="144"/>
      <c r="N17" s="144"/>
      <c r="O17" s="144"/>
      <c r="P17" s="144"/>
      <c r="Q17" s="144"/>
      <c r="R17" s="144"/>
      <c r="S17" s="144"/>
      <c r="T17" s="144"/>
    </row>
    <row r="18" spans="2:20" x14ac:dyDescent="0.25">
      <c r="B18" s="144"/>
      <c r="C18" s="324">
        <v>0.4375</v>
      </c>
      <c r="D18" s="323">
        <v>0.25975833333333337</v>
      </c>
      <c r="E18" s="314">
        <v>0</v>
      </c>
      <c r="F18" s="314">
        <v>2.6777137096774188</v>
      </c>
      <c r="G18" s="314">
        <v>7.5798000000000005</v>
      </c>
      <c r="H18" s="315">
        <f t="shared" si="0"/>
        <v>10.517272043010752</v>
      </c>
      <c r="I18" s="144"/>
      <c r="J18" s="144"/>
      <c r="K18" s="144"/>
      <c r="L18" s="144"/>
      <c r="M18" s="144"/>
      <c r="N18" s="144"/>
      <c r="O18" s="144"/>
      <c r="P18" s="144"/>
      <c r="Q18" s="144"/>
      <c r="R18" s="144"/>
      <c r="S18" s="144"/>
      <c r="T18" s="144"/>
    </row>
    <row r="19" spans="2:20" x14ac:dyDescent="0.25">
      <c r="B19" s="144"/>
      <c r="C19" s="324">
        <v>0.47916666666666669</v>
      </c>
      <c r="D19" s="323">
        <v>0.25975833333333337</v>
      </c>
      <c r="E19" s="314">
        <v>0</v>
      </c>
      <c r="F19" s="314">
        <v>3.3831749999999996</v>
      </c>
      <c r="G19" s="314">
        <v>7.5798000000000005</v>
      </c>
      <c r="H19" s="315">
        <f t="shared" si="0"/>
        <v>11.222733333333334</v>
      </c>
      <c r="I19" s="144"/>
      <c r="J19" s="144"/>
      <c r="K19" s="144"/>
      <c r="L19" s="144"/>
      <c r="M19" s="144"/>
      <c r="N19" s="144"/>
      <c r="O19" s="144"/>
      <c r="P19" s="144"/>
      <c r="Q19" s="144"/>
      <c r="R19" s="144"/>
      <c r="S19" s="144"/>
      <c r="T19" s="144"/>
    </row>
    <row r="20" spans="2:20" x14ac:dyDescent="0.25">
      <c r="B20" s="144"/>
      <c r="C20" s="324">
        <v>0.52083333333333337</v>
      </c>
      <c r="D20" s="323">
        <v>0.25833500000000004</v>
      </c>
      <c r="E20" s="314">
        <v>0</v>
      </c>
      <c r="F20" s="314">
        <v>3.3840959677419349</v>
      </c>
      <c r="G20" s="314">
        <v>7.5798000000000005</v>
      </c>
      <c r="H20" s="315">
        <f t="shared" si="0"/>
        <v>11.222230967741936</v>
      </c>
      <c r="I20" s="144"/>
      <c r="J20" s="144"/>
      <c r="K20" s="144"/>
      <c r="L20" s="144"/>
      <c r="M20" s="144"/>
      <c r="N20" s="144"/>
      <c r="O20" s="144"/>
      <c r="P20" s="144"/>
      <c r="Q20" s="144"/>
      <c r="R20" s="144"/>
      <c r="S20" s="144"/>
      <c r="T20" s="144"/>
    </row>
    <row r="21" spans="2:20" x14ac:dyDescent="0.25">
      <c r="B21" s="144"/>
      <c r="C21" s="324">
        <v>0.5625</v>
      </c>
      <c r="D21" s="323">
        <v>0.26047000000000003</v>
      </c>
      <c r="E21" s="314">
        <v>0</v>
      </c>
      <c r="F21" s="314">
        <v>3.6723588709677415</v>
      </c>
      <c r="G21" s="314">
        <v>7.5798000000000005</v>
      </c>
      <c r="H21" s="315">
        <f t="shared" si="0"/>
        <v>11.512628870967742</v>
      </c>
      <c r="I21" s="144"/>
      <c r="J21" s="144"/>
      <c r="K21" s="144"/>
      <c r="L21" s="144"/>
      <c r="M21" s="144"/>
      <c r="N21" s="144"/>
      <c r="O21" s="144"/>
      <c r="P21" s="144"/>
      <c r="Q21" s="144"/>
      <c r="R21" s="144"/>
      <c r="S21" s="144"/>
      <c r="T21" s="144"/>
    </row>
    <row r="22" spans="2:20" x14ac:dyDescent="0.25">
      <c r="B22" s="144"/>
      <c r="C22" s="324">
        <v>0.60416666666666663</v>
      </c>
      <c r="D22" s="323">
        <v>3.3448333333333337E-2</v>
      </c>
      <c r="E22" s="314">
        <v>0</v>
      </c>
      <c r="F22" s="314">
        <v>3.6769637096774193</v>
      </c>
      <c r="G22" s="314">
        <v>7.58</v>
      </c>
      <c r="H22" s="315">
        <f t="shared" si="0"/>
        <v>11.290412043010752</v>
      </c>
      <c r="I22" s="144"/>
      <c r="J22" s="144"/>
      <c r="K22" s="144"/>
      <c r="L22" s="144"/>
      <c r="M22" s="144"/>
      <c r="N22" s="144"/>
      <c r="O22" s="144"/>
      <c r="P22" s="144"/>
      <c r="Q22" s="144"/>
      <c r="R22" s="144"/>
      <c r="S22" s="144"/>
      <c r="T22" s="144"/>
    </row>
    <row r="23" spans="2:20" x14ac:dyDescent="0.25">
      <c r="B23" s="144"/>
      <c r="C23" s="324">
        <v>0.64583333333333337</v>
      </c>
      <c r="D23" s="323">
        <v>0.25335333333333337</v>
      </c>
      <c r="E23" s="314">
        <v>2.0400000000000001E-3</v>
      </c>
      <c r="F23" s="314">
        <v>3.4485637096774191</v>
      </c>
      <c r="G23" s="314">
        <v>7.5798000000000005</v>
      </c>
      <c r="H23" s="315">
        <f t="shared" si="0"/>
        <v>11.283757043010752</v>
      </c>
      <c r="I23" s="144"/>
      <c r="J23" s="144"/>
      <c r="K23" s="144"/>
      <c r="L23" s="144"/>
      <c r="M23" s="144"/>
      <c r="N23" s="144"/>
      <c r="O23" s="144"/>
      <c r="P23" s="144"/>
      <c r="Q23" s="144"/>
      <c r="R23" s="144"/>
      <c r="S23" s="144"/>
      <c r="T23" s="144"/>
    </row>
    <row r="24" spans="2:20" x14ac:dyDescent="0.25">
      <c r="B24" s="144"/>
      <c r="C24" s="324">
        <v>0.6875</v>
      </c>
      <c r="D24" s="323">
        <v>0.25335333333333337</v>
      </c>
      <c r="E24" s="314">
        <v>2.0400000000000001E-3</v>
      </c>
      <c r="F24" s="314">
        <v>3.2947620967741931</v>
      </c>
      <c r="G24" s="314">
        <v>7.4681999999999995</v>
      </c>
      <c r="H24" s="315">
        <f t="shared" si="0"/>
        <v>11.018355430107526</v>
      </c>
      <c r="I24" s="144"/>
      <c r="J24" s="144"/>
      <c r="K24" s="144"/>
      <c r="L24" s="144"/>
      <c r="M24" s="144"/>
      <c r="N24" s="144"/>
      <c r="O24" s="144"/>
      <c r="P24" s="144"/>
      <c r="Q24" s="144"/>
      <c r="R24" s="144"/>
      <c r="S24" s="144"/>
      <c r="T24" s="144"/>
    </row>
    <row r="25" spans="2:20" x14ac:dyDescent="0.25">
      <c r="B25" s="144"/>
      <c r="C25" s="324">
        <v>0.72916666666666663</v>
      </c>
      <c r="D25" s="323">
        <v>0.21990500000000002</v>
      </c>
      <c r="E25" s="314">
        <v>0</v>
      </c>
      <c r="F25" s="314">
        <v>3.2459508064516127</v>
      </c>
      <c r="G25" s="314">
        <v>1.7982</v>
      </c>
      <c r="H25" s="315">
        <f t="shared" si="0"/>
        <v>5.2640558064516121</v>
      </c>
      <c r="I25" s="144"/>
      <c r="J25" s="144"/>
      <c r="K25" s="144"/>
      <c r="L25" s="144"/>
      <c r="M25" s="144"/>
      <c r="N25" s="144"/>
      <c r="O25" s="144"/>
      <c r="P25" s="144"/>
      <c r="Q25" s="144"/>
      <c r="R25" s="144"/>
      <c r="S25" s="144"/>
      <c r="T25" s="144"/>
    </row>
    <row r="26" spans="2:20" x14ac:dyDescent="0.25">
      <c r="B26" s="144"/>
      <c r="C26" s="324">
        <v>0.77083333333333337</v>
      </c>
      <c r="D26" s="323">
        <v>0.42201833333333338</v>
      </c>
      <c r="E26" s="314">
        <v>0.13532</v>
      </c>
      <c r="F26" s="314">
        <v>6.7433258064516117</v>
      </c>
      <c r="G26" s="314">
        <v>1.7982</v>
      </c>
      <c r="H26" s="315">
        <f t="shared" si="0"/>
        <v>9.0988641397849452</v>
      </c>
      <c r="I26" s="144"/>
      <c r="J26" s="144"/>
      <c r="K26" s="144"/>
      <c r="L26" s="144"/>
      <c r="M26" s="144"/>
      <c r="N26" s="144"/>
      <c r="O26" s="144"/>
      <c r="P26" s="144"/>
      <c r="Q26" s="144"/>
      <c r="R26" s="144"/>
      <c r="S26" s="144"/>
      <c r="T26" s="144"/>
    </row>
    <row r="27" spans="2:20" x14ac:dyDescent="0.25">
      <c r="B27" s="144"/>
      <c r="C27" s="324">
        <v>0.8125</v>
      </c>
      <c r="D27" s="323">
        <v>0.41917166666666672</v>
      </c>
      <c r="E27" s="314">
        <v>0.14959999999999998</v>
      </c>
      <c r="F27" s="314">
        <v>8.6842653225806448</v>
      </c>
      <c r="G27" s="314">
        <v>4.6350000000000002E-2</v>
      </c>
      <c r="H27" s="315">
        <f t="shared" si="0"/>
        <v>9.2993869892473118</v>
      </c>
      <c r="I27" s="144"/>
      <c r="J27" s="144"/>
      <c r="K27" s="144"/>
      <c r="L27" s="144"/>
      <c r="M27" s="144"/>
      <c r="N27" s="144"/>
      <c r="O27" s="144"/>
      <c r="P27" s="144"/>
      <c r="Q27" s="144"/>
      <c r="R27" s="144"/>
      <c r="S27" s="144"/>
      <c r="T27" s="144"/>
    </row>
    <row r="28" spans="2:20" x14ac:dyDescent="0.25">
      <c r="B28" s="144"/>
      <c r="C28" s="324">
        <v>0.85416666666666663</v>
      </c>
      <c r="D28" s="323">
        <v>0.60705166666666677</v>
      </c>
      <c r="E28" s="314">
        <v>0.14959999999999998</v>
      </c>
      <c r="F28" s="314">
        <v>8.9835798387096766</v>
      </c>
      <c r="G28" s="314">
        <v>4.6350000000000002E-2</v>
      </c>
      <c r="H28" s="315">
        <f t="shared" si="0"/>
        <v>9.7865815053763434</v>
      </c>
      <c r="I28" s="144"/>
      <c r="J28" s="144"/>
      <c r="K28" s="144"/>
      <c r="L28" s="144"/>
      <c r="M28" s="144"/>
      <c r="N28" s="144"/>
      <c r="O28" s="144"/>
      <c r="P28" s="144"/>
      <c r="Q28" s="144"/>
      <c r="R28" s="144"/>
      <c r="S28" s="144"/>
      <c r="T28" s="144"/>
    </row>
    <row r="29" spans="2:20" x14ac:dyDescent="0.25">
      <c r="B29" s="144"/>
      <c r="C29" s="324">
        <v>0.89583333333333337</v>
      </c>
      <c r="D29" s="323">
        <v>0.62270833333333353</v>
      </c>
      <c r="E29" s="314">
        <v>0.14959999999999998</v>
      </c>
      <c r="F29" s="314">
        <v>7.9244669354838706</v>
      </c>
      <c r="G29" s="314">
        <v>4.6350000000000002E-2</v>
      </c>
      <c r="H29" s="315">
        <f t="shared" si="0"/>
        <v>8.7431252688172041</v>
      </c>
      <c r="I29" s="144"/>
      <c r="J29" s="144"/>
      <c r="K29" s="144"/>
      <c r="L29" s="144"/>
      <c r="M29" s="144"/>
      <c r="N29" s="144"/>
      <c r="O29" s="144"/>
      <c r="P29" s="144"/>
      <c r="Q29" s="144"/>
      <c r="R29" s="320"/>
      <c r="S29" s="144"/>
      <c r="T29" s="144"/>
    </row>
    <row r="30" spans="2:20" x14ac:dyDescent="0.25">
      <c r="B30" s="144"/>
      <c r="C30" s="324">
        <v>0.9375</v>
      </c>
      <c r="D30" s="323">
        <v>0.42486500000000005</v>
      </c>
      <c r="E30" s="314">
        <v>0.13532</v>
      </c>
      <c r="F30" s="314">
        <v>6.2699483870967736</v>
      </c>
      <c r="G30" s="314">
        <v>4.4999999999999998E-2</v>
      </c>
      <c r="H30" s="315">
        <f t="shared" si="0"/>
        <v>6.8751333870967732</v>
      </c>
      <c r="I30" s="144"/>
      <c r="J30" s="144"/>
      <c r="K30" s="144"/>
      <c r="L30" s="144"/>
      <c r="M30" s="144"/>
      <c r="N30" s="144"/>
      <c r="O30" s="144"/>
      <c r="P30" s="144"/>
      <c r="Q30" s="144"/>
      <c r="R30" s="144"/>
      <c r="S30" s="144"/>
      <c r="T30" s="144"/>
    </row>
    <row r="31" spans="2:20" x14ac:dyDescent="0.25">
      <c r="B31" s="144"/>
      <c r="C31" s="324">
        <v>0.97916666666666663</v>
      </c>
      <c r="D31" s="323">
        <v>0.2355616666666667</v>
      </c>
      <c r="E31" s="314">
        <v>8.1600000000000006E-3</v>
      </c>
      <c r="F31" s="314">
        <v>4.6877258064516125</v>
      </c>
      <c r="G31" s="314">
        <v>2.7E-2</v>
      </c>
      <c r="H31" s="315">
        <f t="shared" si="0"/>
        <v>4.9584474731182793</v>
      </c>
      <c r="I31" s="144"/>
      <c r="J31" s="144"/>
      <c r="K31" s="144"/>
      <c r="L31" s="144"/>
      <c r="M31" s="144"/>
      <c r="N31" s="144"/>
      <c r="O31" s="144"/>
      <c r="P31" s="144"/>
      <c r="Q31" s="144"/>
      <c r="R31" s="144"/>
      <c r="S31" s="144"/>
      <c r="T31" s="144"/>
    </row>
    <row r="32" spans="2:20" x14ac:dyDescent="0.25">
      <c r="B32" s="144"/>
      <c r="C32" s="494" t="s">
        <v>446</v>
      </c>
      <c r="D32" s="321">
        <f>SUM(D8:D31)</f>
        <v>5.6264366666666676</v>
      </c>
      <c r="E32" s="321">
        <f>SUM(E8:E31)</f>
        <v>1.3318000000000001</v>
      </c>
      <c r="F32" s="321">
        <f>SUM(F8:F31)</f>
        <v>79.190332258064487</v>
      </c>
      <c r="G32" s="321">
        <f>SUM(G8:G31)</f>
        <v>68.606099999999998</v>
      </c>
      <c r="H32" s="322">
        <f t="shared" si="0"/>
        <v>154.75466892473116</v>
      </c>
      <c r="I32" s="144"/>
      <c r="J32" s="144"/>
      <c r="K32" s="144"/>
      <c r="L32" s="144"/>
      <c r="M32" s="144"/>
      <c r="N32" s="144"/>
      <c r="O32" s="144"/>
      <c r="P32" s="144"/>
      <c r="Q32" s="144"/>
      <c r="R32" s="144"/>
      <c r="S32" s="144"/>
      <c r="T32" s="144"/>
    </row>
    <row r="33" spans="2:20" ht="15.75" thickBot="1" x14ac:dyDescent="0.3">
      <c r="B33" s="144"/>
      <c r="C33" s="495" t="s">
        <v>267</v>
      </c>
      <c r="D33" s="308">
        <f>D32*365</f>
        <v>2053.6493833333338</v>
      </c>
      <c r="E33" s="308">
        <f t="shared" ref="E33:G33" si="1">E32*365</f>
        <v>486.10700000000003</v>
      </c>
      <c r="F33" s="308">
        <f t="shared" si="1"/>
        <v>28904.471274193536</v>
      </c>
      <c r="G33" s="308">
        <f t="shared" si="1"/>
        <v>25041.226500000001</v>
      </c>
      <c r="H33" s="316">
        <f>SUM(D33:G33)</f>
        <v>56485.454157526867</v>
      </c>
      <c r="I33" s="144"/>
      <c r="J33" s="144"/>
      <c r="K33" s="144"/>
      <c r="L33" s="144"/>
      <c r="M33" s="144"/>
      <c r="N33" s="144"/>
      <c r="O33" s="144"/>
      <c r="P33" s="144"/>
      <c r="Q33" s="144"/>
      <c r="R33" s="144"/>
      <c r="S33" s="144"/>
      <c r="T33" s="144"/>
    </row>
    <row r="34" spans="2:20" ht="16.5" thickTop="1" thickBot="1" x14ac:dyDescent="0.3">
      <c r="B34" s="144"/>
      <c r="C34" s="325" t="s">
        <v>345</v>
      </c>
      <c r="D34" s="317">
        <v>200</v>
      </c>
      <c r="E34" s="317">
        <v>15</v>
      </c>
      <c r="F34" s="317">
        <v>300</v>
      </c>
      <c r="G34" s="317">
        <v>1</v>
      </c>
      <c r="H34" s="318">
        <f>SUM(D34:G34)</f>
        <v>516</v>
      </c>
      <c r="I34" s="144"/>
      <c r="J34" s="144"/>
      <c r="K34" s="144"/>
      <c r="L34" s="144"/>
      <c r="M34" s="144"/>
      <c r="N34" s="144"/>
      <c r="O34" s="144"/>
      <c r="P34" s="144"/>
      <c r="Q34" s="144"/>
      <c r="R34" s="144"/>
      <c r="S34" s="144"/>
      <c r="T34" s="144"/>
    </row>
    <row r="35" spans="2:20" ht="15.75" thickTop="1" x14ac:dyDescent="0.25">
      <c r="B35" s="320"/>
      <c r="C35" s="319"/>
      <c r="D35" s="144"/>
      <c r="E35" s="144"/>
      <c r="F35" s="144"/>
      <c r="G35" s="144"/>
      <c r="H35" s="144"/>
      <c r="I35" s="144"/>
      <c r="J35" s="144"/>
      <c r="K35" s="144"/>
      <c r="L35" s="144"/>
      <c r="M35" s="144"/>
      <c r="N35" s="144"/>
      <c r="O35" s="144"/>
      <c r="P35" s="144"/>
      <c r="Q35" s="144"/>
      <c r="R35" s="144"/>
      <c r="S35" s="144"/>
      <c r="T35" s="144"/>
    </row>
    <row r="36" spans="2:20" x14ac:dyDescent="0.25">
      <c r="B36" s="144"/>
      <c r="C36" s="144"/>
      <c r="D36" s="144"/>
      <c r="E36" s="144"/>
      <c r="F36" s="144"/>
      <c r="G36" s="144"/>
      <c r="H36" s="144"/>
      <c r="I36" s="144"/>
      <c r="J36" s="144"/>
      <c r="K36" s="144"/>
      <c r="L36" s="144"/>
      <c r="M36" s="144"/>
      <c r="N36" s="144"/>
      <c r="O36" s="144"/>
      <c r="P36" s="144"/>
      <c r="Q36" s="144"/>
      <c r="R36" s="144"/>
      <c r="S36" s="144"/>
      <c r="T36" s="144"/>
    </row>
    <row r="37" spans="2:20" x14ac:dyDescent="0.25">
      <c r="B37" s="144"/>
      <c r="C37" s="144"/>
      <c r="D37" s="144"/>
      <c r="E37" s="144"/>
      <c r="F37" s="144"/>
      <c r="G37" s="144"/>
      <c r="H37" s="144"/>
      <c r="I37" s="144"/>
      <c r="J37" s="144"/>
      <c r="K37" s="144"/>
      <c r="L37" s="144"/>
      <c r="M37" s="144"/>
      <c r="N37" s="144"/>
      <c r="O37" s="144"/>
      <c r="P37" s="144"/>
      <c r="Q37" s="144"/>
      <c r="R37" s="144"/>
      <c r="S37" s="144"/>
      <c r="T37" s="144"/>
    </row>
    <row r="38" spans="2:20" x14ac:dyDescent="0.25">
      <c r="B38" s="144"/>
      <c r="C38" s="144"/>
      <c r="D38" s="144"/>
      <c r="E38" s="144"/>
      <c r="F38" s="144"/>
      <c r="G38" s="144"/>
      <c r="H38" s="144"/>
      <c r="I38" s="144"/>
      <c r="J38" s="144"/>
      <c r="K38" s="144"/>
      <c r="L38" s="144"/>
      <c r="M38" s="144"/>
      <c r="N38" s="144"/>
      <c r="O38" s="144"/>
      <c r="P38" s="144"/>
      <c r="Q38" s="144"/>
      <c r="R38" s="144"/>
      <c r="S38" s="144"/>
      <c r="T38" s="144"/>
    </row>
    <row r="39" spans="2:20" x14ac:dyDescent="0.25">
      <c r="B39" s="144"/>
      <c r="C39" s="144"/>
      <c r="D39" s="144"/>
      <c r="E39" s="144"/>
      <c r="F39" s="144"/>
      <c r="G39" s="144"/>
      <c r="H39" s="144"/>
      <c r="I39" s="144"/>
      <c r="J39" s="144"/>
      <c r="K39" s="144"/>
      <c r="L39" s="144"/>
      <c r="M39" s="144"/>
      <c r="N39" s="144"/>
      <c r="O39" s="144"/>
      <c r="P39" s="144"/>
      <c r="Q39" s="144"/>
      <c r="R39" s="144"/>
      <c r="S39" s="144"/>
      <c r="T39" s="144"/>
    </row>
    <row r="40" spans="2:20" x14ac:dyDescent="0.25">
      <c r="B40" s="144"/>
      <c r="C40" s="144"/>
      <c r="D40" s="144"/>
      <c r="E40" s="144"/>
      <c r="F40" s="144"/>
      <c r="G40" s="144"/>
      <c r="H40" s="144"/>
      <c r="I40" s="144"/>
      <c r="J40" s="144"/>
      <c r="K40" s="144"/>
      <c r="L40" s="144"/>
      <c r="M40" s="144"/>
      <c r="N40" s="144"/>
      <c r="O40" s="144"/>
      <c r="P40" s="144"/>
      <c r="Q40" s="144"/>
      <c r="R40" s="144"/>
      <c r="S40" s="144"/>
      <c r="T40" s="144"/>
    </row>
    <row r="41" spans="2:20" x14ac:dyDescent="0.25">
      <c r="B41" s="144"/>
      <c r="C41" s="144"/>
      <c r="D41" s="144"/>
      <c r="E41" s="144"/>
      <c r="F41" s="144"/>
      <c r="G41" s="144"/>
      <c r="H41" s="144"/>
      <c r="I41" s="144"/>
      <c r="J41" s="144"/>
      <c r="K41" s="144"/>
      <c r="L41" s="144"/>
      <c r="M41" s="144"/>
      <c r="N41" s="144"/>
      <c r="O41" s="144"/>
      <c r="P41" s="144"/>
      <c r="Q41" s="144"/>
      <c r="R41" s="144"/>
      <c r="S41" s="144"/>
      <c r="T41" s="144"/>
    </row>
  </sheetData>
  <mergeCells count="2">
    <mergeCell ref="C6:C7"/>
    <mergeCell ref="H6:H7"/>
  </mergeCells>
  <dataValidations count="1">
    <dataValidation type="custom" allowBlank="1" showInputMessage="1" showErrorMessage="1" errorTitle="Error" error="The customer classes must be the same as those defined in the Tariffs Input tab. Please make the changes in the Tariff Input tab" promptTitle="Note" prompt="The customer classes must be the same as those defined in the Tariffs Input tab" sqref="D7:G7">
      <formula1>0</formula1>
    </dataValidation>
  </dataValidations>
  <pageMargins left="0.7" right="0.7" top="0.75" bottom="0.75" header="0.3" footer="0.3"/>
  <pageSetup orientation="portrait" r:id="rId1"/>
  <ignoredErrors>
    <ignoredError sqref="H8:H3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F502"/>
  <sheetViews>
    <sheetView showGridLines="0" topLeftCell="AG1" zoomScaleNormal="100" workbookViewId="0">
      <pane ySplit="5" topLeftCell="A6" activePane="bottomLeft" state="frozen"/>
      <selection pane="bottomLeft" activeCell="AS9" sqref="AS9"/>
    </sheetView>
  </sheetViews>
  <sheetFormatPr defaultColWidth="9.140625" defaultRowHeight="12.75" x14ac:dyDescent="0.2"/>
  <cols>
    <col min="1" max="1" width="1.42578125" style="174" customWidth="1"/>
    <col min="2" max="2" width="1.42578125" style="8" customWidth="1"/>
    <col min="3" max="3" width="39.85546875" style="8" customWidth="1"/>
    <col min="4" max="4" width="12.140625" style="9" bestFit="1" customWidth="1"/>
    <col min="5" max="44" width="13.42578125" style="8" customWidth="1"/>
    <col min="45" max="45" width="9.140625" style="8"/>
    <col min="46" max="46" width="9.140625" style="174" customWidth="1"/>
    <col min="47" max="188" width="9.140625" style="174"/>
    <col min="189" max="16384" width="9.140625" style="8"/>
  </cols>
  <sheetData>
    <row r="1" spans="2:45" s="174" customFormat="1" ht="7.5" customHeight="1" x14ac:dyDescent="0.2">
      <c r="D1" s="173"/>
    </row>
    <row r="2" spans="2:45" ht="7.5" customHeight="1" x14ac:dyDescent="0.2"/>
    <row r="3" spans="2:45" ht="18.75" x14ac:dyDescent="0.3">
      <c r="C3" s="302" t="s">
        <v>424</v>
      </c>
      <c r="D3" s="7"/>
      <c r="E3" s="7"/>
      <c r="F3" s="7"/>
      <c r="G3" s="7"/>
    </row>
    <row r="4" spans="2:45" x14ac:dyDescent="0.2">
      <c r="C4" s="103"/>
      <c r="D4" s="7"/>
      <c r="E4" s="7"/>
      <c r="F4" s="7"/>
      <c r="G4" s="7"/>
    </row>
    <row r="5" spans="2:45" x14ac:dyDescent="0.2">
      <c r="D5" s="481" t="s">
        <v>62</v>
      </c>
      <c r="E5" s="10">
        <v>1</v>
      </c>
      <c r="F5" s="10">
        <f>E5+1</f>
        <v>2</v>
      </c>
      <c r="G5" s="10">
        <f t="shared" ref="G5:AQ5" si="0">F5+1</f>
        <v>3</v>
      </c>
      <c r="H5" s="10">
        <f t="shared" si="0"/>
        <v>4</v>
      </c>
      <c r="I5" s="10">
        <f t="shared" si="0"/>
        <v>5</v>
      </c>
      <c r="J5" s="10">
        <f t="shared" si="0"/>
        <v>6</v>
      </c>
      <c r="K5" s="10">
        <f t="shared" si="0"/>
        <v>7</v>
      </c>
      <c r="L5" s="10">
        <f t="shared" si="0"/>
        <v>8</v>
      </c>
      <c r="M5" s="10">
        <f t="shared" si="0"/>
        <v>9</v>
      </c>
      <c r="N5" s="10">
        <f t="shared" si="0"/>
        <v>10</v>
      </c>
      <c r="O5" s="10">
        <f t="shared" si="0"/>
        <v>11</v>
      </c>
      <c r="P5" s="10">
        <f t="shared" si="0"/>
        <v>12</v>
      </c>
      <c r="Q5" s="10">
        <f t="shared" si="0"/>
        <v>13</v>
      </c>
      <c r="R5" s="10">
        <f t="shared" si="0"/>
        <v>14</v>
      </c>
      <c r="S5" s="10">
        <f t="shared" si="0"/>
        <v>15</v>
      </c>
      <c r="T5" s="10">
        <f t="shared" si="0"/>
        <v>16</v>
      </c>
      <c r="U5" s="10">
        <f t="shared" si="0"/>
        <v>17</v>
      </c>
      <c r="V5" s="10">
        <f t="shared" si="0"/>
        <v>18</v>
      </c>
      <c r="W5" s="10">
        <f t="shared" si="0"/>
        <v>19</v>
      </c>
      <c r="X5" s="10">
        <f t="shared" si="0"/>
        <v>20</v>
      </c>
      <c r="Y5" s="10">
        <f t="shared" si="0"/>
        <v>21</v>
      </c>
      <c r="Z5" s="10">
        <f t="shared" si="0"/>
        <v>22</v>
      </c>
      <c r="AA5" s="10">
        <f t="shared" si="0"/>
        <v>23</v>
      </c>
      <c r="AB5" s="10">
        <f t="shared" si="0"/>
        <v>24</v>
      </c>
      <c r="AC5" s="10">
        <f t="shared" si="0"/>
        <v>25</v>
      </c>
      <c r="AD5" s="10">
        <f t="shared" si="0"/>
        <v>26</v>
      </c>
      <c r="AE5" s="10">
        <f t="shared" si="0"/>
        <v>27</v>
      </c>
      <c r="AF5" s="10">
        <f t="shared" si="0"/>
        <v>28</v>
      </c>
      <c r="AG5" s="10">
        <f t="shared" si="0"/>
        <v>29</v>
      </c>
      <c r="AH5" s="10">
        <f t="shared" si="0"/>
        <v>30</v>
      </c>
      <c r="AI5" s="10">
        <f t="shared" si="0"/>
        <v>31</v>
      </c>
      <c r="AJ5" s="10">
        <f t="shared" si="0"/>
        <v>32</v>
      </c>
      <c r="AK5" s="10">
        <f t="shared" si="0"/>
        <v>33</v>
      </c>
      <c r="AL5" s="10">
        <f t="shared" si="0"/>
        <v>34</v>
      </c>
      <c r="AM5" s="10">
        <f t="shared" si="0"/>
        <v>35</v>
      </c>
      <c r="AN5" s="10">
        <f t="shared" si="0"/>
        <v>36</v>
      </c>
      <c r="AO5" s="10">
        <f t="shared" si="0"/>
        <v>37</v>
      </c>
      <c r="AP5" s="10">
        <f t="shared" si="0"/>
        <v>38</v>
      </c>
      <c r="AQ5" s="10">
        <f t="shared" si="0"/>
        <v>39</v>
      </c>
      <c r="AR5" s="11">
        <f>AQ5+1</f>
        <v>40</v>
      </c>
    </row>
    <row r="6" spans="2:45" s="174" customFormat="1" x14ac:dyDescent="0.2">
      <c r="B6" s="342"/>
      <c r="C6" s="377"/>
      <c r="D6" s="395"/>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42"/>
    </row>
    <row r="7" spans="2:45" x14ac:dyDescent="0.2">
      <c r="C7" s="450" t="s">
        <v>511</v>
      </c>
      <c r="D7" s="106"/>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04"/>
      <c r="AE7" s="104"/>
      <c r="AF7" s="104"/>
      <c r="AG7" s="104"/>
      <c r="AH7" s="104"/>
      <c r="AI7" s="104"/>
      <c r="AJ7" s="104"/>
      <c r="AK7" s="104"/>
      <c r="AL7" s="104"/>
      <c r="AM7" s="104"/>
      <c r="AN7" s="104"/>
      <c r="AO7" s="104"/>
      <c r="AP7" s="104"/>
      <c r="AQ7" s="104"/>
      <c r="AR7" s="104"/>
    </row>
    <row r="8" spans="2:45" x14ac:dyDescent="0.2">
      <c r="C8" s="433" t="s">
        <v>179</v>
      </c>
      <c r="D8" s="283" t="str">
        <f>'Tariff Inputs'!E15</f>
        <v>kWh</v>
      </c>
      <c r="E8" s="17">
        <f>'Tariff Inputs'!D15</f>
        <v>0</v>
      </c>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8"/>
    </row>
    <row r="9" spans="2:45" x14ac:dyDescent="0.2">
      <c r="C9" s="430" t="s">
        <v>188</v>
      </c>
      <c r="D9" s="284" t="s">
        <v>132</v>
      </c>
      <c r="E9" s="104"/>
      <c r="F9" s="104">
        <f>IF(F5&lt;='Tariff Inputs'!$D17,-ROUNDUP(E10*'Tariff Inputs'!$D16,0),0)</f>
        <v>0</v>
      </c>
      <c r="G9" s="104">
        <f>IF(G5&lt;='Tariff Inputs'!$D17,-ROUNDUP(F10*'Tariff Inputs'!$D16,0),0)</f>
        <v>0</v>
      </c>
      <c r="H9" s="104">
        <f>IF(H5&lt;='Tariff Inputs'!$D17,-ROUNDUP(G10*'Tariff Inputs'!$D16,0),0)</f>
        <v>0</v>
      </c>
      <c r="I9" s="104">
        <f>IF(I5&lt;='Tariff Inputs'!$D17,-ROUNDUP(H10*'Tariff Inputs'!$D16,0),0)</f>
        <v>0</v>
      </c>
      <c r="J9" s="104">
        <f>IF(J5&lt;='Tariff Inputs'!$D17,-ROUNDUP(I10*'Tariff Inputs'!$D16,0),0)</f>
        <v>0</v>
      </c>
      <c r="K9" s="104">
        <f>IF(K5&lt;='Tariff Inputs'!$D17,-ROUNDUP(J10*'Tariff Inputs'!$D16,0),0)</f>
        <v>0</v>
      </c>
      <c r="L9" s="104">
        <f>IF(L5&lt;='Tariff Inputs'!$D17,-ROUNDUP(K10*'Tariff Inputs'!$D16,0),0)</f>
        <v>0</v>
      </c>
      <c r="M9" s="104">
        <f>IF(M5&lt;='Tariff Inputs'!$D17,-ROUNDUP(L10*'Tariff Inputs'!$D16,0),0)</f>
        <v>0</v>
      </c>
      <c r="N9" s="104">
        <f>IF(N5&lt;='Tariff Inputs'!$D17,-ROUNDUP(M10*'Tariff Inputs'!$D16,0),0)</f>
        <v>0</v>
      </c>
      <c r="O9" s="104">
        <f>IF(O5&lt;='Tariff Inputs'!$D17,-ROUNDUP(N10*'Tariff Inputs'!$D16,0),0)</f>
        <v>0</v>
      </c>
      <c r="P9" s="104">
        <f>IF(P5&lt;='Tariff Inputs'!$D17,-ROUNDUP(O10*'Tariff Inputs'!$D16,0),0)</f>
        <v>0</v>
      </c>
      <c r="Q9" s="104">
        <f>IF(Q5&lt;='Tariff Inputs'!$D17,-ROUNDUP(P10*'Tariff Inputs'!$D16,0),0)</f>
        <v>0</v>
      </c>
      <c r="R9" s="104">
        <f>IF(R5&lt;='Tariff Inputs'!$D17,-ROUNDUP(Q10*'Tariff Inputs'!$D16,0),0)</f>
        <v>0</v>
      </c>
      <c r="S9" s="104">
        <f>IF(S5&lt;='Tariff Inputs'!$D17,-ROUNDUP(R10*'Tariff Inputs'!$D16,0),0)</f>
        <v>0</v>
      </c>
      <c r="T9" s="104">
        <f>IF(T5&lt;='Tariff Inputs'!$D17,-ROUNDUP(S10*'Tariff Inputs'!$D16,0),0)</f>
        <v>0</v>
      </c>
      <c r="U9" s="104">
        <f>IF(U5&lt;='Tariff Inputs'!$D17,-ROUNDUP(T10*'Tariff Inputs'!$D16,0),0)</f>
        <v>0</v>
      </c>
      <c r="V9" s="104">
        <f>IF(V5&lt;='Tariff Inputs'!$D17,-ROUNDUP(U10*'Tariff Inputs'!$D16,0),0)</f>
        <v>0</v>
      </c>
      <c r="W9" s="104">
        <f>IF(W5&lt;='Tariff Inputs'!$D17,-ROUNDUP(V10*'Tariff Inputs'!$D16,0),0)</f>
        <v>0</v>
      </c>
      <c r="X9" s="104">
        <f>IF(X5&lt;='Tariff Inputs'!$D17,-ROUNDUP(W10*'Tariff Inputs'!$D16,0),0)</f>
        <v>0</v>
      </c>
      <c r="Y9" s="104">
        <f>IF(Y5&lt;='Tariff Inputs'!$D17,-ROUNDUP(X10*'Tariff Inputs'!$D16,0),0)</f>
        <v>0</v>
      </c>
      <c r="Z9" s="104">
        <f>IF(Z5&lt;='Tariff Inputs'!$D17,-ROUNDUP(Y10*'Tariff Inputs'!$D16,0),0)</f>
        <v>0</v>
      </c>
      <c r="AA9" s="104">
        <f>IF(AA5&lt;='Tariff Inputs'!$D17,-ROUNDUP(Z10*'Tariff Inputs'!$D16,0),0)</f>
        <v>0</v>
      </c>
      <c r="AB9" s="104">
        <f>IF(AB5&lt;='Tariff Inputs'!$D17,-ROUNDUP(AA10*'Tariff Inputs'!$D16,0),0)</f>
        <v>0</v>
      </c>
      <c r="AC9" s="104">
        <f>IF(AC5&lt;='Tariff Inputs'!$D17,-ROUNDUP(AB10*'Tariff Inputs'!$D16,0),0)</f>
        <v>0</v>
      </c>
      <c r="AD9" s="104">
        <f>IF(AD5&lt;='Tariff Inputs'!$D17,-ROUNDUP(AC10*'Tariff Inputs'!$D16,0),0)</f>
        <v>0</v>
      </c>
      <c r="AE9" s="104">
        <f>IF(AE5&lt;='Tariff Inputs'!$D17,-ROUNDUP(AD10*'Tariff Inputs'!$D16,0),0)</f>
        <v>0</v>
      </c>
      <c r="AF9" s="104">
        <f>IF(AF5&lt;='Tariff Inputs'!$D17,-ROUNDUP(AE10*'Tariff Inputs'!$D16,0),0)</f>
        <v>0</v>
      </c>
      <c r="AG9" s="104">
        <f>IF(AG5&lt;='Tariff Inputs'!$D17,-ROUNDUP(AF10*'Tariff Inputs'!$D16,0),0)</f>
        <v>0</v>
      </c>
      <c r="AH9" s="104">
        <f>IF(AH5&lt;='Tariff Inputs'!$D17,-ROUNDUP(AG10*'Tariff Inputs'!$D16,0),0)</f>
        <v>0</v>
      </c>
      <c r="AI9" s="104">
        <f>IF(AI5&lt;='Tariff Inputs'!$D17,-ROUNDUP(AH10*'Tariff Inputs'!$D16,0),0)</f>
        <v>0</v>
      </c>
      <c r="AJ9" s="104">
        <f>IF(AJ5&lt;='Tariff Inputs'!$D17,-ROUNDUP(AI10*'Tariff Inputs'!$D16,0),0)</f>
        <v>0</v>
      </c>
      <c r="AK9" s="104">
        <f>IF(AK5&lt;='Tariff Inputs'!$D17,-ROUNDUP(AJ10*'Tariff Inputs'!$D16,0),0)</f>
        <v>0</v>
      </c>
      <c r="AL9" s="104">
        <f>IF(AL5&lt;='Tariff Inputs'!$D17,-ROUNDUP(AK10*'Tariff Inputs'!$D16,0),0)</f>
        <v>0</v>
      </c>
      <c r="AM9" s="104">
        <f>IF(AM5&lt;='Tariff Inputs'!$D17,-ROUNDUP(AL10*'Tariff Inputs'!$D16,0),0)</f>
        <v>0</v>
      </c>
      <c r="AN9" s="104">
        <f>IF(AN5&lt;='Tariff Inputs'!$D17,-ROUNDUP(AM10*'Tariff Inputs'!$D16,0),0)</f>
        <v>0</v>
      </c>
      <c r="AO9" s="104">
        <f>IF(AO5&lt;='Tariff Inputs'!$D17,-ROUNDUP(AN10*'Tariff Inputs'!$D16,0),0)</f>
        <v>0</v>
      </c>
      <c r="AP9" s="104">
        <f>IF(AP5&lt;='Tariff Inputs'!$D17,-ROUNDUP(AO10*'Tariff Inputs'!$D16,0),0)</f>
        <v>0</v>
      </c>
      <c r="AQ9" s="104">
        <f>IF(AQ5&lt;='Tariff Inputs'!$D17,-ROUNDUP(AP10*'Tariff Inputs'!$D16,0),0)</f>
        <v>0</v>
      </c>
      <c r="AR9" s="110">
        <f>IF(AR5&lt;='Tariff Inputs'!$D17,-ROUNDUP(AQ10*'Tariff Inputs'!$D16,0),0)</f>
        <v>0</v>
      </c>
    </row>
    <row r="10" spans="2:45" ht="13.5" thickBot="1" x14ac:dyDescent="0.25">
      <c r="C10" s="431" t="s">
        <v>83</v>
      </c>
      <c r="D10" s="396" t="s">
        <v>132</v>
      </c>
      <c r="E10" s="5">
        <f>IF(E5&lt;='Tariff Inputs'!$D17,SUM(E8:E9),0)</f>
        <v>0</v>
      </c>
      <c r="F10" s="5">
        <f>IF(F5&lt;='Tariff Inputs'!$D17,(E10+SUM(F8:F9)),0)</f>
        <v>0</v>
      </c>
      <c r="G10" s="5">
        <f>IF(G5&lt;='Tariff Inputs'!$D17,(F10+SUM(G8:G9)),0)</f>
        <v>0</v>
      </c>
      <c r="H10" s="5">
        <f>IF(H5&lt;='Tariff Inputs'!$D17,(G10+SUM(H8:H9)),0)</f>
        <v>0</v>
      </c>
      <c r="I10" s="5">
        <f>IF(I5&lt;='Tariff Inputs'!$D17,(H10+SUM(I8:I9)),0)</f>
        <v>0</v>
      </c>
      <c r="J10" s="5">
        <f>IF(J5&lt;='Tariff Inputs'!$D17,(I10+SUM(J8:J9)),0)</f>
        <v>0</v>
      </c>
      <c r="K10" s="5">
        <f>IF(K5&lt;='Tariff Inputs'!$D17,(J10+SUM(K8:K9)),0)</f>
        <v>0</v>
      </c>
      <c r="L10" s="5">
        <f>IF(L5&lt;='Tariff Inputs'!$D17,(K10+SUM(L8:L9)),0)</f>
        <v>0</v>
      </c>
      <c r="M10" s="5">
        <f>IF(M5&lt;='Tariff Inputs'!$D17,(L10+SUM(M8:M9)),0)</f>
        <v>0</v>
      </c>
      <c r="N10" s="5">
        <f>IF(N5&lt;='Tariff Inputs'!$D17,(M10+SUM(N8:N9)),0)</f>
        <v>0</v>
      </c>
      <c r="O10" s="5">
        <f>IF(O5&lt;='Tariff Inputs'!$D17,(N10+SUM(O8:O9)),0)</f>
        <v>0</v>
      </c>
      <c r="P10" s="5">
        <f>IF(P5&lt;='Tariff Inputs'!$D17,(O10+SUM(P8:P9)),0)</f>
        <v>0</v>
      </c>
      <c r="Q10" s="5">
        <f>IF(Q5&lt;='Tariff Inputs'!$D17,(P10+SUM(Q8:Q9)),0)</f>
        <v>0</v>
      </c>
      <c r="R10" s="5">
        <f>IF(R5&lt;='Tariff Inputs'!$D17,(Q10+SUM(R8:R9)),0)</f>
        <v>0</v>
      </c>
      <c r="S10" s="5">
        <f>IF(S5&lt;='Tariff Inputs'!$D17,(R10+SUM(S8:S9)),0)</f>
        <v>0</v>
      </c>
      <c r="T10" s="5">
        <f>IF(T5&lt;='Tariff Inputs'!$D17,(S10+SUM(T8:T9)),0)</f>
        <v>0</v>
      </c>
      <c r="U10" s="5">
        <f>IF(U5&lt;='Tariff Inputs'!$D17,(T10+SUM(U8:U9)),0)</f>
        <v>0</v>
      </c>
      <c r="V10" s="5">
        <f>IF(V5&lt;='Tariff Inputs'!$D17,(U10+SUM(V8:V9)),0)</f>
        <v>0</v>
      </c>
      <c r="W10" s="5">
        <f>IF(W5&lt;='Tariff Inputs'!$D17,(V10+SUM(W8:W9)),0)</f>
        <v>0</v>
      </c>
      <c r="X10" s="5">
        <f>IF(X5&lt;='Tariff Inputs'!$D17,(W10+SUM(X8:X9)),0)</f>
        <v>0</v>
      </c>
      <c r="Y10" s="5">
        <f>IF(Y5&lt;='Tariff Inputs'!$D17,(X10+SUM(Y8:Y9)),0)</f>
        <v>0</v>
      </c>
      <c r="Z10" s="5">
        <f>IF(Z5&lt;='Tariff Inputs'!$D17,(Y10+SUM(Z8:Z9)),0)</f>
        <v>0</v>
      </c>
      <c r="AA10" s="5">
        <f>IF(AA5&lt;='Tariff Inputs'!$D17,(Z10+SUM(AA8:AA9)),0)</f>
        <v>0</v>
      </c>
      <c r="AB10" s="5">
        <f>IF(AB5&lt;='Tariff Inputs'!$D17,(AA10+SUM(AB8:AB9)),0)</f>
        <v>0</v>
      </c>
      <c r="AC10" s="5">
        <f>IF(AC5&lt;='Tariff Inputs'!$D17,(AB10+SUM(AC8:AC9)),0)</f>
        <v>0</v>
      </c>
      <c r="AD10" s="5">
        <f>IF(AD5&lt;='Tariff Inputs'!$D17,(AC10+SUM(AD8:AD9)),0)</f>
        <v>0</v>
      </c>
      <c r="AE10" s="5">
        <f>IF(AE5&lt;='Tariff Inputs'!$D17,(AD10+SUM(AE8:AE9)),0)</f>
        <v>0</v>
      </c>
      <c r="AF10" s="5">
        <f>IF(AF5&lt;='Tariff Inputs'!$D17,(AE10+SUM(AF8:AF9)),0)</f>
        <v>0</v>
      </c>
      <c r="AG10" s="5">
        <f>IF(AG5&lt;='Tariff Inputs'!$D17,(AF10+SUM(AG8:AG9)),0)</f>
        <v>0</v>
      </c>
      <c r="AH10" s="5">
        <f>IF(AH5&lt;='Tariff Inputs'!$D17,(AG10+SUM(AH8:AH9)),0)</f>
        <v>0</v>
      </c>
      <c r="AI10" s="5">
        <f>IF(AI5&lt;='Tariff Inputs'!$D17,(AH10+SUM(AI8:AI9)),0)</f>
        <v>0</v>
      </c>
      <c r="AJ10" s="5">
        <f>IF(AJ5&lt;='Tariff Inputs'!$D17,(AI10+SUM(AJ8:AJ9)),0)</f>
        <v>0</v>
      </c>
      <c r="AK10" s="5">
        <f>IF(AK5&lt;='Tariff Inputs'!$D17,(AJ10+SUM(AK8:AK9)),0)</f>
        <v>0</v>
      </c>
      <c r="AL10" s="5">
        <f>IF(AL5&lt;='Tariff Inputs'!$D17,(AK10+SUM(AL8:AL9)),0)</f>
        <v>0</v>
      </c>
      <c r="AM10" s="5">
        <f>IF(AM5&lt;='Tariff Inputs'!$D17,(AL10+SUM(AM8:AM9)),0)</f>
        <v>0</v>
      </c>
      <c r="AN10" s="5">
        <f>IF(AN5&lt;='Tariff Inputs'!$D17,(AM10+SUM(AN8:AN9)),0)</f>
        <v>0</v>
      </c>
      <c r="AO10" s="5">
        <f>IF(AO5&lt;='Tariff Inputs'!$D17,(AN10+SUM(AO8:AO9)),0)</f>
        <v>0</v>
      </c>
      <c r="AP10" s="5">
        <f>IF(AP5&lt;='Tariff Inputs'!$D17,(AO10+SUM(AP8:AP9)),0)</f>
        <v>0</v>
      </c>
      <c r="AQ10" s="5">
        <f>IF(AQ5&lt;='Tariff Inputs'!$D17,(AP10+SUM(AQ8:AQ9)),0)</f>
        <v>0</v>
      </c>
      <c r="AR10" s="269">
        <f>IF(AR5&lt;='Tariff Inputs'!$D17,(AQ10+SUM(AR8:AR9)),0)</f>
        <v>0</v>
      </c>
    </row>
    <row r="11" spans="2:45" ht="13.5" thickTop="1" x14ac:dyDescent="0.2">
      <c r="C11" s="432" t="s">
        <v>218</v>
      </c>
      <c r="D11" s="284" t="s">
        <v>132</v>
      </c>
      <c r="E11" s="21">
        <f>E10</f>
        <v>0</v>
      </c>
      <c r="F11" s="21">
        <f>E11+F10</f>
        <v>0</v>
      </c>
      <c r="G11" s="21">
        <f t="shared" ref="G11:AR11" si="1">F11+G10</f>
        <v>0</v>
      </c>
      <c r="H11" s="21">
        <f t="shared" si="1"/>
        <v>0</v>
      </c>
      <c r="I11" s="21">
        <f t="shared" si="1"/>
        <v>0</v>
      </c>
      <c r="J11" s="21">
        <f t="shared" si="1"/>
        <v>0</v>
      </c>
      <c r="K11" s="21">
        <f t="shared" si="1"/>
        <v>0</v>
      </c>
      <c r="L11" s="21">
        <f t="shared" si="1"/>
        <v>0</v>
      </c>
      <c r="M11" s="21">
        <f t="shared" si="1"/>
        <v>0</v>
      </c>
      <c r="N11" s="21">
        <f t="shared" si="1"/>
        <v>0</v>
      </c>
      <c r="O11" s="21">
        <f t="shared" si="1"/>
        <v>0</v>
      </c>
      <c r="P11" s="21">
        <f t="shared" si="1"/>
        <v>0</v>
      </c>
      <c r="Q11" s="21">
        <f t="shared" si="1"/>
        <v>0</v>
      </c>
      <c r="R11" s="21">
        <f t="shared" si="1"/>
        <v>0</v>
      </c>
      <c r="S11" s="21">
        <f t="shared" si="1"/>
        <v>0</v>
      </c>
      <c r="T11" s="21">
        <f t="shared" si="1"/>
        <v>0</v>
      </c>
      <c r="U11" s="21">
        <f t="shared" si="1"/>
        <v>0</v>
      </c>
      <c r="V11" s="21">
        <f t="shared" si="1"/>
        <v>0</v>
      </c>
      <c r="W11" s="21">
        <f t="shared" si="1"/>
        <v>0</v>
      </c>
      <c r="X11" s="21">
        <f t="shared" si="1"/>
        <v>0</v>
      </c>
      <c r="Y11" s="21">
        <f t="shared" si="1"/>
        <v>0</v>
      </c>
      <c r="Z11" s="21">
        <f t="shared" si="1"/>
        <v>0</v>
      </c>
      <c r="AA11" s="21">
        <f t="shared" si="1"/>
        <v>0</v>
      </c>
      <c r="AB11" s="21">
        <f t="shared" si="1"/>
        <v>0</v>
      </c>
      <c r="AC11" s="21">
        <f t="shared" si="1"/>
        <v>0</v>
      </c>
      <c r="AD11" s="21">
        <f t="shared" si="1"/>
        <v>0</v>
      </c>
      <c r="AE11" s="21">
        <f t="shared" si="1"/>
        <v>0</v>
      </c>
      <c r="AF11" s="21">
        <f t="shared" si="1"/>
        <v>0</v>
      </c>
      <c r="AG11" s="21">
        <f t="shared" si="1"/>
        <v>0</v>
      </c>
      <c r="AH11" s="21">
        <f t="shared" si="1"/>
        <v>0</v>
      </c>
      <c r="AI11" s="21">
        <f t="shared" si="1"/>
        <v>0</v>
      </c>
      <c r="AJ11" s="21">
        <f t="shared" si="1"/>
        <v>0</v>
      </c>
      <c r="AK11" s="21">
        <f t="shared" si="1"/>
        <v>0</v>
      </c>
      <c r="AL11" s="21">
        <f t="shared" si="1"/>
        <v>0</v>
      </c>
      <c r="AM11" s="21">
        <f t="shared" si="1"/>
        <v>0</v>
      </c>
      <c r="AN11" s="21">
        <f t="shared" si="1"/>
        <v>0</v>
      </c>
      <c r="AO11" s="21">
        <f t="shared" si="1"/>
        <v>0</v>
      </c>
      <c r="AP11" s="21">
        <f t="shared" si="1"/>
        <v>0</v>
      </c>
      <c r="AQ11" s="21">
        <f t="shared" si="1"/>
        <v>0</v>
      </c>
      <c r="AR11" s="22">
        <f t="shared" si="1"/>
        <v>0</v>
      </c>
    </row>
    <row r="13" spans="2:45" x14ac:dyDescent="0.2">
      <c r="C13" s="450" t="s">
        <v>189</v>
      </c>
    </row>
    <row r="14" spans="2:45" x14ac:dyDescent="0.2">
      <c r="C14" s="15" t="s">
        <v>328</v>
      </c>
      <c r="D14" s="283" t="str">
        <f>'Tariff Inputs'!I68</f>
        <v>KES</v>
      </c>
      <c r="E14" s="17">
        <f>IF(E5&lt;='Tariff Inputs'!$D17,'Capital Costs Details'!$J151+'Capital Costs Details'!$J163,0)</f>
        <v>0</v>
      </c>
      <c r="F14" s="17">
        <f>IF(F5&gt;'Tariff Inputs'!$D17,0,IF(('Capital Costs Details'!$G151+'Capital Costs Details'!$G163+'Capital Costs Details'!$G188)-(SUM($E14:E14))&gt;('Capital Costs Details'!$J151+'Capital Costs Details'!$J163),('Capital Costs Details'!$J151+'Capital Costs Details'!$J163),('Capital Costs Details'!$G151+'Capital Costs Details'!$G163+'Capital Costs Details'!$G188)-(SUM($E14:E14))))</f>
        <v>0</v>
      </c>
      <c r="G14" s="17">
        <f>IF(G5&gt;'Tariff Inputs'!$D17,0,IF(('Capital Costs Details'!$G151+'Capital Costs Details'!$G163+'Capital Costs Details'!$G188)-(SUM($E14:F14))&gt;('Capital Costs Details'!$J151+'Capital Costs Details'!$J163),('Capital Costs Details'!$J151+'Capital Costs Details'!$J163),('Capital Costs Details'!$G151+'Capital Costs Details'!$G163+'Capital Costs Details'!$G188)-(SUM($E14:F14))))</f>
        <v>0</v>
      </c>
      <c r="H14" s="17">
        <f>IF(H5&gt;'Tariff Inputs'!$D17,0,IF(('Capital Costs Details'!$G151+'Capital Costs Details'!$G163+'Capital Costs Details'!$G188)-(SUM($E14:G14))&gt;('Capital Costs Details'!$J151+'Capital Costs Details'!$J163),('Capital Costs Details'!$J151+'Capital Costs Details'!$J163),('Capital Costs Details'!$G151+'Capital Costs Details'!$G163+'Capital Costs Details'!$G188)-(SUM($E14:G14))))</f>
        <v>0</v>
      </c>
      <c r="I14" s="17">
        <f>IF(I5&gt;'Tariff Inputs'!$D17,0,IF(('Capital Costs Details'!$G151+'Capital Costs Details'!$G163+'Capital Costs Details'!$G188)-(SUM($E14:H14))&gt;('Capital Costs Details'!$J151+'Capital Costs Details'!$J163),('Capital Costs Details'!$J151+'Capital Costs Details'!$J163),('Capital Costs Details'!$G151+'Capital Costs Details'!$G163+'Capital Costs Details'!$G188)-(SUM($E14:H14))))</f>
        <v>0</v>
      </c>
      <c r="J14" s="17">
        <f>IF(J5&gt;'Tariff Inputs'!$D17,0,IF(('Capital Costs Details'!$G151+'Capital Costs Details'!$G163+'Capital Costs Details'!$G188)-(SUM($E14:I14))&gt;('Capital Costs Details'!$J151+'Capital Costs Details'!$J163),('Capital Costs Details'!$J151+'Capital Costs Details'!$J163),('Capital Costs Details'!$G151+'Capital Costs Details'!$G163+'Capital Costs Details'!$G188)-(SUM($E14:I14))))</f>
        <v>0</v>
      </c>
      <c r="K14" s="17">
        <f>IF(K5&gt;'Tariff Inputs'!$D17,0,IF(('Capital Costs Details'!$G151+'Capital Costs Details'!$G163+'Capital Costs Details'!$G188)-(SUM($E14:J14))&gt;('Capital Costs Details'!$J151+'Capital Costs Details'!$J163),('Capital Costs Details'!$J151+'Capital Costs Details'!$J163),('Capital Costs Details'!$G151+'Capital Costs Details'!$G163+'Capital Costs Details'!$G188)-(SUM($E14:J14))))</f>
        <v>0</v>
      </c>
      <c r="L14" s="17">
        <f>IF(L5&gt;'Tariff Inputs'!$D17,0,IF(('Capital Costs Details'!$G151+'Capital Costs Details'!$G163+'Capital Costs Details'!$G188)-(SUM($E14:K14))&gt;('Capital Costs Details'!$J151+'Capital Costs Details'!$J163),('Capital Costs Details'!$J151+'Capital Costs Details'!$J163),('Capital Costs Details'!$G151+'Capital Costs Details'!$G163+'Capital Costs Details'!$G188)-(SUM($E14:K14))))</f>
        <v>0</v>
      </c>
      <c r="M14" s="17">
        <f>IF(M5&gt;'Tariff Inputs'!$D17,0,IF(('Capital Costs Details'!$G151+'Capital Costs Details'!$G163+'Capital Costs Details'!$G188)-(SUM($E14:L14))&gt;('Capital Costs Details'!$J151+'Capital Costs Details'!$J163),('Capital Costs Details'!$J151+'Capital Costs Details'!$J163),('Capital Costs Details'!$G151+'Capital Costs Details'!$G163+'Capital Costs Details'!$G188)-(SUM($E14:L14))))</f>
        <v>0</v>
      </c>
      <c r="N14" s="17">
        <f>IF(N5&gt;'Tariff Inputs'!$D17,0,IF(('Capital Costs Details'!$G151+'Capital Costs Details'!$G163+'Capital Costs Details'!$G188)-(SUM($E14:M14))&gt;('Capital Costs Details'!$J151+'Capital Costs Details'!$J163),('Capital Costs Details'!$J151+'Capital Costs Details'!$J163),('Capital Costs Details'!$G151+'Capital Costs Details'!$G163+'Capital Costs Details'!$G188)-(SUM($E14:M14))))</f>
        <v>0</v>
      </c>
      <c r="O14" s="17">
        <f>IF(O5&gt;'Tariff Inputs'!$D17,0,IF(('Capital Costs Details'!$G151+'Capital Costs Details'!$G163+'Capital Costs Details'!$G188)-(SUM($E14:N14))&gt;('Capital Costs Details'!$J151+'Capital Costs Details'!$J163),('Capital Costs Details'!$J151+'Capital Costs Details'!$J163),('Capital Costs Details'!$G151+'Capital Costs Details'!$G163+'Capital Costs Details'!$G188)-(SUM($E14:N14))))</f>
        <v>0</v>
      </c>
      <c r="P14" s="17">
        <f>IF(P5&gt;'Tariff Inputs'!$D17,0,IF(('Capital Costs Details'!$G151+'Capital Costs Details'!$G163+'Capital Costs Details'!$G188)-(SUM($E14:O14))&gt;('Capital Costs Details'!$J151+'Capital Costs Details'!$J163),('Capital Costs Details'!$J151+'Capital Costs Details'!$J163),('Capital Costs Details'!$G151+'Capital Costs Details'!$G163+'Capital Costs Details'!$G188)-(SUM($E14:O14))))</f>
        <v>0</v>
      </c>
      <c r="Q14" s="17">
        <f>IF(Q5&gt;'Tariff Inputs'!$D17,0,IF(('Capital Costs Details'!$G151+'Capital Costs Details'!$G163+'Capital Costs Details'!$G188)-(SUM($E14:P14))&gt;('Capital Costs Details'!$J151+'Capital Costs Details'!$J163),('Capital Costs Details'!$J151+'Capital Costs Details'!$J163),('Capital Costs Details'!$G151+'Capital Costs Details'!$G163+'Capital Costs Details'!$G188)-(SUM($E14:P14))))</f>
        <v>0</v>
      </c>
      <c r="R14" s="17">
        <f>IF(R5&gt;'Tariff Inputs'!$D17,0,IF(('Capital Costs Details'!$G151+'Capital Costs Details'!$G163+'Capital Costs Details'!$G188)-(SUM($E14:Q14))&gt;('Capital Costs Details'!$J151+'Capital Costs Details'!$J163),('Capital Costs Details'!$J151+'Capital Costs Details'!$J163),('Capital Costs Details'!$G151+'Capital Costs Details'!$G163+'Capital Costs Details'!$G188)-(SUM($E14:Q14))))</f>
        <v>0</v>
      </c>
      <c r="S14" s="17">
        <f>IF(S5&gt;'Tariff Inputs'!$D17,0,IF(('Capital Costs Details'!$G151+'Capital Costs Details'!$G163+'Capital Costs Details'!$G188)-(SUM($E14:R14))&gt;('Capital Costs Details'!$J151+'Capital Costs Details'!$J163),('Capital Costs Details'!$J151+'Capital Costs Details'!$J163),('Capital Costs Details'!$G151+'Capital Costs Details'!$G163+'Capital Costs Details'!$G188)-(SUM($E14:R14))))</f>
        <v>0</v>
      </c>
      <c r="T14" s="17">
        <f>IF(T5&gt;'Tariff Inputs'!$D17,0,IF(('Capital Costs Details'!$G151+'Capital Costs Details'!$G163+'Capital Costs Details'!$G188)-(SUM($E14:S14))&gt;('Capital Costs Details'!$J151+'Capital Costs Details'!$J163),('Capital Costs Details'!$J151+'Capital Costs Details'!$J163),('Capital Costs Details'!$G151+'Capital Costs Details'!$G163+'Capital Costs Details'!$G188)-(SUM($E14:S14))))</f>
        <v>0</v>
      </c>
      <c r="U14" s="17">
        <f>IF(U5&gt;'Tariff Inputs'!$D17,0,IF(('Capital Costs Details'!$G151+'Capital Costs Details'!$G163+'Capital Costs Details'!$G188)-(SUM($E14:T14))&gt;('Capital Costs Details'!$J151+'Capital Costs Details'!$J163),('Capital Costs Details'!$J151+'Capital Costs Details'!$J163),('Capital Costs Details'!$G151+'Capital Costs Details'!$G163+'Capital Costs Details'!$G188)-(SUM($E14:T14))))</f>
        <v>0</v>
      </c>
      <c r="V14" s="17">
        <f>IF(V5&gt;'Tariff Inputs'!$D17,0,IF(('Capital Costs Details'!$G151+'Capital Costs Details'!$G163+'Capital Costs Details'!$G188)-(SUM($E14:U14))&gt;('Capital Costs Details'!$J151+'Capital Costs Details'!$J163),('Capital Costs Details'!$J151+'Capital Costs Details'!$J163),('Capital Costs Details'!$G151+'Capital Costs Details'!$G163+'Capital Costs Details'!$G188)-(SUM($E14:U14))))</f>
        <v>0</v>
      </c>
      <c r="W14" s="17">
        <f>IF(W5&gt;'Tariff Inputs'!$D17,0,IF(('Capital Costs Details'!$G151+'Capital Costs Details'!$G163+'Capital Costs Details'!$G188)-(SUM($E14:V14))&gt;('Capital Costs Details'!$J151+'Capital Costs Details'!$J163),('Capital Costs Details'!$J151+'Capital Costs Details'!$J163),('Capital Costs Details'!$G151+'Capital Costs Details'!$G163+'Capital Costs Details'!$G188)-(SUM($E14:V14))))</f>
        <v>0</v>
      </c>
      <c r="X14" s="17">
        <f>IF(X5&gt;'Tariff Inputs'!$D17,0,IF(('Capital Costs Details'!$G151+'Capital Costs Details'!$G163+'Capital Costs Details'!$G188)-(SUM($E14:W14))&gt;('Capital Costs Details'!$J151+'Capital Costs Details'!$J163),('Capital Costs Details'!$J151+'Capital Costs Details'!$J163),('Capital Costs Details'!$G151+'Capital Costs Details'!$G163+'Capital Costs Details'!$G188)-(SUM($E14:W14))))</f>
        <v>0</v>
      </c>
      <c r="Y14" s="17">
        <f>IF(Y5&gt;'Tariff Inputs'!$D17,0,IF(('Capital Costs Details'!$G151+'Capital Costs Details'!$G163+'Capital Costs Details'!$G188)-(SUM($E14:X14))&gt;('Capital Costs Details'!$J151+'Capital Costs Details'!$J163),('Capital Costs Details'!$J151+'Capital Costs Details'!$J163),('Capital Costs Details'!$G151+'Capital Costs Details'!$G163+'Capital Costs Details'!$G188)-(SUM($E14:X14))))</f>
        <v>0</v>
      </c>
      <c r="Z14" s="17">
        <f>IF(Z5&gt;'Tariff Inputs'!$D17,0,IF(('Capital Costs Details'!$G151+'Capital Costs Details'!$G163+'Capital Costs Details'!$G188)-(SUM($E14:Y14))&gt;('Capital Costs Details'!$J151+'Capital Costs Details'!$J163),('Capital Costs Details'!$J151+'Capital Costs Details'!$J163),('Capital Costs Details'!$G151+'Capital Costs Details'!$G163+'Capital Costs Details'!$G188)-(SUM($E14:Y14))))</f>
        <v>0</v>
      </c>
      <c r="AA14" s="17">
        <f>IF(AA5&gt;'Tariff Inputs'!$D17,0,IF(('Capital Costs Details'!$G151+'Capital Costs Details'!$G163+'Capital Costs Details'!$G188)-(SUM($E14:Z14))&gt;('Capital Costs Details'!$J151+'Capital Costs Details'!$J163),('Capital Costs Details'!$J151+'Capital Costs Details'!$J163),('Capital Costs Details'!$G151+'Capital Costs Details'!$G163+'Capital Costs Details'!$G188)-(SUM($E14:Z14))))</f>
        <v>0</v>
      </c>
      <c r="AB14" s="17">
        <f>IF(AB5&gt;'Tariff Inputs'!$D17,0,IF(('Capital Costs Details'!$G151+'Capital Costs Details'!$G163+'Capital Costs Details'!$G188)-(SUM($E14:AA14))&gt;('Capital Costs Details'!$J151+'Capital Costs Details'!$J163),('Capital Costs Details'!$J151+'Capital Costs Details'!$J163),('Capital Costs Details'!$G151+'Capital Costs Details'!$G163+'Capital Costs Details'!$G188)-(SUM($E14:AA14))))</f>
        <v>0</v>
      </c>
      <c r="AC14" s="17">
        <f>IF(AC5&gt;'Tariff Inputs'!$D17,0,IF(('Capital Costs Details'!$G151+'Capital Costs Details'!$G163+'Capital Costs Details'!$G188)-(SUM($E14:AB14))&gt;('Capital Costs Details'!$J151+'Capital Costs Details'!$J163),('Capital Costs Details'!$J151+'Capital Costs Details'!$J163),('Capital Costs Details'!$G151+'Capital Costs Details'!$G163+'Capital Costs Details'!$G188)-(SUM($E14:AB14))))</f>
        <v>0</v>
      </c>
      <c r="AD14" s="17">
        <f>IF(AD5&gt;'Tariff Inputs'!$D17,0,IF(('Capital Costs Details'!$G151+'Capital Costs Details'!$G163+'Capital Costs Details'!$G188)-(SUM($E14:AC14))&gt;('Capital Costs Details'!$J151+'Capital Costs Details'!$J163),('Capital Costs Details'!$J151+'Capital Costs Details'!$J163),('Capital Costs Details'!$G151+'Capital Costs Details'!$G163+'Capital Costs Details'!$G188)-(SUM($E14:AC14))))</f>
        <v>0</v>
      </c>
      <c r="AE14" s="17">
        <f>IF(AE5&gt;'Tariff Inputs'!$D17,0,IF(('Capital Costs Details'!$G151+'Capital Costs Details'!$G163+'Capital Costs Details'!$G188)-(SUM($E14:AD14))&gt;('Capital Costs Details'!$J151+'Capital Costs Details'!$J163),('Capital Costs Details'!$J151+'Capital Costs Details'!$J163),('Capital Costs Details'!$G151+'Capital Costs Details'!$G163+'Capital Costs Details'!$G188)-(SUM($E14:AD14))))</f>
        <v>0</v>
      </c>
      <c r="AF14" s="17">
        <f>IF(AF5&gt;'Tariff Inputs'!$D17,0,IF(('Capital Costs Details'!$G151+'Capital Costs Details'!$G163+'Capital Costs Details'!$G188)-(SUM($E14:AE14))&gt;('Capital Costs Details'!$J151+'Capital Costs Details'!$J163),('Capital Costs Details'!$J151+'Capital Costs Details'!$J163),('Capital Costs Details'!$G151+'Capital Costs Details'!$G163+'Capital Costs Details'!$G188)-(SUM($E14:AE14))))</f>
        <v>0</v>
      </c>
      <c r="AG14" s="17">
        <f>IF(AG5&gt;'Tariff Inputs'!$D17,0,IF(('Capital Costs Details'!$G151+'Capital Costs Details'!$G163+'Capital Costs Details'!$G188)-(SUM($E14:AF14))&gt;('Capital Costs Details'!$J151+'Capital Costs Details'!$J163),('Capital Costs Details'!$J151+'Capital Costs Details'!$J163),('Capital Costs Details'!$G151+'Capital Costs Details'!$G163+'Capital Costs Details'!$G188)-(SUM($E14:AF14))))</f>
        <v>0</v>
      </c>
      <c r="AH14" s="17">
        <f>IF(AH5&gt;'Tariff Inputs'!$D17,0,IF(('Capital Costs Details'!$G151+'Capital Costs Details'!$G163+'Capital Costs Details'!$G188)-(SUM($E14:AG14))&gt;('Capital Costs Details'!$J151+'Capital Costs Details'!$J163),('Capital Costs Details'!$J151+'Capital Costs Details'!$J163),('Capital Costs Details'!$G151+'Capital Costs Details'!$G163+'Capital Costs Details'!$G188)-(SUM($E14:AG14))))</f>
        <v>0</v>
      </c>
      <c r="AI14" s="17">
        <f>IF(AI5&gt;'Tariff Inputs'!$D17,0,IF(('Capital Costs Details'!$G151+'Capital Costs Details'!$G163+'Capital Costs Details'!$G188)-(SUM($E14:AH14))&gt;('Capital Costs Details'!$J151+'Capital Costs Details'!$J163),('Capital Costs Details'!$J151+'Capital Costs Details'!$J163),('Capital Costs Details'!$G151+'Capital Costs Details'!$G163+'Capital Costs Details'!$G188)-(SUM($E14:AH14))))</f>
        <v>0</v>
      </c>
      <c r="AJ14" s="17">
        <f>IF(AJ5&gt;'Tariff Inputs'!$D17,0,IF(('Capital Costs Details'!$G151+'Capital Costs Details'!$G163+'Capital Costs Details'!$G188)-(SUM($E14:AI14))&gt;('Capital Costs Details'!$J151+'Capital Costs Details'!$J163),('Capital Costs Details'!$J151+'Capital Costs Details'!$J163),('Capital Costs Details'!$G151+'Capital Costs Details'!$G163+'Capital Costs Details'!$G188)-(SUM($E14:AI14))))</f>
        <v>0</v>
      </c>
      <c r="AK14" s="17">
        <f>IF(AK5&gt;'Tariff Inputs'!$D17,0,IF(('Capital Costs Details'!$G151+'Capital Costs Details'!$G163+'Capital Costs Details'!$G188)-(SUM($E14:AJ14))&gt;('Capital Costs Details'!$J151+'Capital Costs Details'!$J163),('Capital Costs Details'!$J151+'Capital Costs Details'!$J163),('Capital Costs Details'!$G151+'Capital Costs Details'!$G163+'Capital Costs Details'!$G188)-(SUM($E14:AJ14))))</f>
        <v>0</v>
      </c>
      <c r="AL14" s="17">
        <f>IF(AL5&gt;'Tariff Inputs'!$D17,0,IF(('Capital Costs Details'!$G151+'Capital Costs Details'!$G163+'Capital Costs Details'!$G188)-(SUM($E14:AK14))&gt;('Capital Costs Details'!$J151+'Capital Costs Details'!$J163),('Capital Costs Details'!$J151+'Capital Costs Details'!$J163),('Capital Costs Details'!$G151+'Capital Costs Details'!$G163+'Capital Costs Details'!$G188)-(SUM($E14:AK14))))</f>
        <v>0</v>
      </c>
      <c r="AM14" s="17">
        <f>IF(AM5&gt;'Tariff Inputs'!$D17,0,IF(('Capital Costs Details'!$G151+'Capital Costs Details'!$G163+'Capital Costs Details'!$G188)-(SUM($E14:AL14))&gt;('Capital Costs Details'!$J151+'Capital Costs Details'!$J163),('Capital Costs Details'!$J151+'Capital Costs Details'!$J163),('Capital Costs Details'!$G151+'Capital Costs Details'!$G163+'Capital Costs Details'!$G188)-(SUM($E14:AL14))))</f>
        <v>0</v>
      </c>
      <c r="AN14" s="17">
        <f>IF(AN5&gt;'Tariff Inputs'!$D17,0,IF(('Capital Costs Details'!$G151+'Capital Costs Details'!$G163+'Capital Costs Details'!$G188)-(SUM($E14:AM14))&gt;('Capital Costs Details'!$J151+'Capital Costs Details'!$J163),('Capital Costs Details'!$J151+'Capital Costs Details'!$J163),('Capital Costs Details'!$G151+'Capital Costs Details'!$G163+'Capital Costs Details'!$G188)-(SUM($E14:AM14))))</f>
        <v>0</v>
      </c>
      <c r="AO14" s="17">
        <f>IF(AO5&gt;'Tariff Inputs'!$D17,0,IF(('Capital Costs Details'!$G151+'Capital Costs Details'!$G163+'Capital Costs Details'!$G188)-(SUM($E14:AN14))&gt;('Capital Costs Details'!$J151+'Capital Costs Details'!$J163),('Capital Costs Details'!$J151+'Capital Costs Details'!$J163),('Capital Costs Details'!$G151+'Capital Costs Details'!$G163+'Capital Costs Details'!$G188)-(SUM($E14:AN14))))</f>
        <v>0</v>
      </c>
      <c r="AP14" s="17">
        <f>IF(AP5&gt;'Tariff Inputs'!$D17,0,IF(('Capital Costs Details'!$G151+'Capital Costs Details'!$G163+'Capital Costs Details'!$G188)-(SUM($E14:AO14))&gt;('Capital Costs Details'!$J151+'Capital Costs Details'!$J163),('Capital Costs Details'!$J151+'Capital Costs Details'!$J163),('Capital Costs Details'!$G151+'Capital Costs Details'!$G163+'Capital Costs Details'!$G188)-(SUM($E14:AO14))))</f>
        <v>0</v>
      </c>
      <c r="AQ14" s="17">
        <f>IF(AQ5&gt;'Tariff Inputs'!$D17,0,IF(('Capital Costs Details'!$G151+'Capital Costs Details'!$G163+'Capital Costs Details'!$G188)-(SUM($E14:AP14))&gt;('Capital Costs Details'!$J151+'Capital Costs Details'!$J163),('Capital Costs Details'!$J151+'Capital Costs Details'!$J163),('Capital Costs Details'!$G151+'Capital Costs Details'!$G163+'Capital Costs Details'!$G188)-(SUM($E14:AP14))))</f>
        <v>0</v>
      </c>
      <c r="AR14" s="18">
        <f>IF(AR5&gt;'Tariff Inputs'!$D17,0,IF(('Capital Costs Details'!$G151+'Capital Costs Details'!$G163+'Capital Costs Details'!$G188)-(SUM($E14:AQ14))&gt;('Capital Costs Details'!$J151+'Capital Costs Details'!$J163),('Capital Costs Details'!$J151+'Capital Costs Details'!$J163),('Capital Costs Details'!$G151+'Capital Costs Details'!$G163+'Capital Costs Details'!$G188)-(SUM($E14:AQ14))))</f>
        <v>0</v>
      </c>
    </row>
    <row r="15" spans="2:45" x14ac:dyDescent="0.2">
      <c r="C15" s="434" t="s">
        <v>329</v>
      </c>
      <c r="D15" s="12" t="str">
        <f>'Tariff Inputs'!I68</f>
        <v>KES</v>
      </c>
      <c r="E15" s="104">
        <f>('Capital Costs Details'!$L151+'Capital Costs Details'!$L163)*E10</f>
        <v>0</v>
      </c>
      <c r="F15" s="104">
        <f>IF(SUM($E15:E15)&lt;'Capital Costs Details'!$G151+'Capital Costs Details'!$G163+'Capital Costs Details'!$G188,IF(F5&lt;='Tariff Inputs'!$D17,('Capital Costs Details'!$L151+'Capital Costs Details'!$L163)*F10,0),0)</f>
        <v>0</v>
      </c>
      <c r="G15" s="104">
        <f>IF(SUM($E15:F15)&lt;'Capital Costs Details'!$G151+'Capital Costs Details'!$G163+'Capital Costs Details'!$G188,IF(G5&lt;='Tariff Inputs'!$D17,('Capital Costs Details'!$L151+'Capital Costs Details'!$L163)*G10,0),0)</f>
        <v>0</v>
      </c>
      <c r="H15" s="104">
        <f>IF(SUM($E15:G15)&lt;'Capital Costs Details'!$G151+'Capital Costs Details'!$G163+'Capital Costs Details'!$G188,IF(H5&lt;='Tariff Inputs'!$D17,('Capital Costs Details'!$L151+'Capital Costs Details'!$L163)*H10,0),0)</f>
        <v>0</v>
      </c>
      <c r="I15" s="104">
        <f>IF(SUM($E15:H15)&lt;'Capital Costs Details'!$G151+'Capital Costs Details'!$G163+'Capital Costs Details'!$G188,IF(I5&lt;='Tariff Inputs'!$D17,('Capital Costs Details'!$L151+'Capital Costs Details'!$L163)*I10,0),0)</f>
        <v>0</v>
      </c>
      <c r="J15" s="104">
        <f>IF(SUM($E15:I15)&lt;'Capital Costs Details'!$G151+'Capital Costs Details'!$G163+'Capital Costs Details'!$G188,IF(J5&lt;='Tariff Inputs'!$D17,('Capital Costs Details'!$L151+'Capital Costs Details'!$L163)*J10,0),0)</f>
        <v>0</v>
      </c>
      <c r="K15" s="104">
        <f>IF(SUM($E15:J15)&lt;'Capital Costs Details'!$G151+'Capital Costs Details'!$G163+'Capital Costs Details'!$G188,IF(K5&lt;='Tariff Inputs'!$D17,('Capital Costs Details'!$L151+'Capital Costs Details'!$L163)*K10,0),0)</f>
        <v>0</v>
      </c>
      <c r="L15" s="104">
        <f>IF(SUM($E15:K15)&lt;'Capital Costs Details'!$G151+'Capital Costs Details'!$G163+'Capital Costs Details'!$G188,IF(L5&lt;='Tariff Inputs'!$D17,('Capital Costs Details'!$L151+'Capital Costs Details'!$L163)*L10,0),0)</f>
        <v>0</v>
      </c>
      <c r="M15" s="104">
        <f>IF(SUM($E15:L15)&lt;'Capital Costs Details'!$G151+'Capital Costs Details'!$G163+'Capital Costs Details'!$G188,IF(M5&lt;='Tariff Inputs'!$D17,('Capital Costs Details'!$L151+'Capital Costs Details'!$L163)*M10,0),0)</f>
        <v>0</v>
      </c>
      <c r="N15" s="104">
        <f>IF(SUM($E15:M15)&lt;'Capital Costs Details'!$G151+'Capital Costs Details'!$G163+'Capital Costs Details'!$G188,IF(N5&lt;='Tariff Inputs'!$D17,('Capital Costs Details'!$L151+'Capital Costs Details'!$L163)*N10,0),0)</f>
        <v>0</v>
      </c>
      <c r="O15" s="104">
        <f>IF(SUM($E15:N15)&lt;'Capital Costs Details'!$G151+'Capital Costs Details'!$G163+'Capital Costs Details'!$G188,IF(O5&lt;='Tariff Inputs'!$D17,('Capital Costs Details'!$L151+'Capital Costs Details'!$L163)*O10,0),0)</f>
        <v>0</v>
      </c>
      <c r="P15" s="104">
        <f>IF(SUM($E15:O15)&lt;'Capital Costs Details'!$G151+'Capital Costs Details'!$G163+'Capital Costs Details'!$G188,IF(P5&lt;='Tariff Inputs'!$D17,('Capital Costs Details'!$L151+'Capital Costs Details'!$L163)*P10,0),0)</f>
        <v>0</v>
      </c>
      <c r="Q15" s="104">
        <f>IF(SUM($E15:P15)&lt;'Capital Costs Details'!$G151+'Capital Costs Details'!$G163+'Capital Costs Details'!$G188,IF(Q5&lt;='Tariff Inputs'!$D17,('Capital Costs Details'!$L151+'Capital Costs Details'!$L163)*Q10,0),0)</f>
        <v>0</v>
      </c>
      <c r="R15" s="104">
        <f>IF(SUM($E15:Q15)&lt;'Capital Costs Details'!$G151+'Capital Costs Details'!$G163+'Capital Costs Details'!$G188,IF(R5&lt;='Tariff Inputs'!$D17,('Capital Costs Details'!$L151+'Capital Costs Details'!$L163)*R10,0),0)</f>
        <v>0</v>
      </c>
      <c r="S15" s="104">
        <f>IF(SUM($E15:R15)&lt;'Capital Costs Details'!$G151+'Capital Costs Details'!$G163+'Capital Costs Details'!$G188,IF(S5&lt;='Tariff Inputs'!$D17,('Capital Costs Details'!$L151+'Capital Costs Details'!$L163)*S10,0),0)</f>
        <v>0</v>
      </c>
      <c r="T15" s="104">
        <f>IF(SUM($E15:S15)&lt;'Capital Costs Details'!$G151+'Capital Costs Details'!$G163+'Capital Costs Details'!$G188,IF(T5&lt;='Tariff Inputs'!$D17,('Capital Costs Details'!$L151+'Capital Costs Details'!$L163)*T10,0),0)</f>
        <v>0</v>
      </c>
      <c r="U15" s="104">
        <f>IF(SUM($E15:T15)&lt;'Capital Costs Details'!$G151+'Capital Costs Details'!$G163+'Capital Costs Details'!$G188,IF(U5&lt;='Tariff Inputs'!$D17,('Capital Costs Details'!$L151+'Capital Costs Details'!$L163)*U10,0),0)</f>
        <v>0</v>
      </c>
      <c r="V15" s="104">
        <f>IF(SUM($E15:U15)&lt;'Capital Costs Details'!$G151+'Capital Costs Details'!$G163+'Capital Costs Details'!$G188,IF(V5&lt;='Tariff Inputs'!$D17,('Capital Costs Details'!$L151+'Capital Costs Details'!$L163)*V10,0),0)</f>
        <v>0</v>
      </c>
      <c r="W15" s="104">
        <f>IF(SUM($E15:V15)&lt;'Capital Costs Details'!$G151+'Capital Costs Details'!$G163+'Capital Costs Details'!$G188,IF(W5&lt;='Tariff Inputs'!$D17,('Capital Costs Details'!$L151+'Capital Costs Details'!$L163)*W10,0),0)</f>
        <v>0</v>
      </c>
      <c r="X15" s="104">
        <f>IF(SUM($E15:W15)&lt;'Capital Costs Details'!$G151+'Capital Costs Details'!$G163+'Capital Costs Details'!$G188,IF(X5&lt;='Tariff Inputs'!$D17,('Capital Costs Details'!$L151+'Capital Costs Details'!$L163)*X10,0),0)</f>
        <v>0</v>
      </c>
      <c r="Y15" s="104">
        <f>IF(SUM($E15:X15)&lt;'Capital Costs Details'!$G151+'Capital Costs Details'!$G163+'Capital Costs Details'!$G188,IF(Y5&lt;='Tariff Inputs'!$D17,('Capital Costs Details'!$L151+'Capital Costs Details'!$L163)*Y10,0),0)</f>
        <v>0</v>
      </c>
      <c r="Z15" s="104">
        <f>IF(SUM($E15:Y15)&lt;'Capital Costs Details'!$G151+'Capital Costs Details'!$G163+'Capital Costs Details'!$G188,IF(Z5&lt;='Tariff Inputs'!$D17,('Capital Costs Details'!$L151+'Capital Costs Details'!$L163)*Z10,0),0)</f>
        <v>0</v>
      </c>
      <c r="AA15" s="104">
        <f>IF(SUM($E15:Z15)&lt;'Capital Costs Details'!$G151+'Capital Costs Details'!$G163+'Capital Costs Details'!$G188,IF(AA5&lt;='Tariff Inputs'!$D17,('Capital Costs Details'!$L151+'Capital Costs Details'!$L163)*AA10,0),0)</f>
        <v>0</v>
      </c>
      <c r="AB15" s="104">
        <f>IF(SUM($E15:AA15)&lt;'Capital Costs Details'!$G151+'Capital Costs Details'!$G163+'Capital Costs Details'!$G188,IF(AB5&lt;='Tariff Inputs'!$D17,('Capital Costs Details'!$L151+'Capital Costs Details'!$L163)*AB10,0),0)</f>
        <v>0</v>
      </c>
      <c r="AC15" s="104">
        <f>IF(SUM($E15:AB15)&lt;'Capital Costs Details'!$G151+'Capital Costs Details'!$G163+'Capital Costs Details'!$G188,IF(AC5&lt;='Tariff Inputs'!$D17,('Capital Costs Details'!$L151+'Capital Costs Details'!$L163)*AC10,0),0)</f>
        <v>0</v>
      </c>
      <c r="AD15" s="104">
        <f>IF(SUM($E15:AC15)&lt;'Capital Costs Details'!$G151+'Capital Costs Details'!$G163+'Capital Costs Details'!$G188,IF(AD5&lt;='Tariff Inputs'!$D17,('Capital Costs Details'!$L151+'Capital Costs Details'!$L163)*AD10,0),0)</f>
        <v>0</v>
      </c>
      <c r="AE15" s="104">
        <f>IF(SUM($E15:AD15)&lt;'Capital Costs Details'!$G151+'Capital Costs Details'!$G163+'Capital Costs Details'!$G188,IF(AE5&lt;='Tariff Inputs'!$D17,('Capital Costs Details'!$L151+'Capital Costs Details'!$L163)*AE10,0),0)</f>
        <v>0</v>
      </c>
      <c r="AF15" s="104">
        <f>IF(SUM($E15:AE15)&lt;'Capital Costs Details'!$G151+'Capital Costs Details'!$G163+'Capital Costs Details'!$G188,IF(AF5&lt;='Tariff Inputs'!$D17,('Capital Costs Details'!$L151+'Capital Costs Details'!$L163)*AF10,0),0)</f>
        <v>0</v>
      </c>
      <c r="AG15" s="104">
        <f>IF(SUM($E15:AF15)&lt;'Capital Costs Details'!$G151+'Capital Costs Details'!$G163+'Capital Costs Details'!$G188,IF(AG5&lt;='Tariff Inputs'!$D17,('Capital Costs Details'!$L151+'Capital Costs Details'!$L163)*AG10,0),0)</f>
        <v>0</v>
      </c>
      <c r="AH15" s="104">
        <f>IF(SUM($E15:AG15)&lt;'Capital Costs Details'!$G151+'Capital Costs Details'!$G163+'Capital Costs Details'!$G188,IF(AH5&lt;='Tariff Inputs'!$D17,('Capital Costs Details'!$L151+'Capital Costs Details'!$L163)*AH10,0),0)</f>
        <v>0</v>
      </c>
      <c r="AI15" s="104">
        <f>IF(SUM($E15:AH15)&lt;'Capital Costs Details'!$G151+'Capital Costs Details'!$G163+'Capital Costs Details'!$G188,IF(AI5&lt;='Tariff Inputs'!$D17,('Capital Costs Details'!$L151+'Capital Costs Details'!$L163)*AI10,0),0)</f>
        <v>0</v>
      </c>
      <c r="AJ15" s="104">
        <f>IF(SUM($E15:AI15)&lt;'Capital Costs Details'!$G151+'Capital Costs Details'!$G163+'Capital Costs Details'!$G188,IF(AJ5&lt;='Tariff Inputs'!$D17,('Capital Costs Details'!$L151+'Capital Costs Details'!$L163)*AJ10,0),0)</f>
        <v>0</v>
      </c>
      <c r="AK15" s="104">
        <f>IF(SUM($E15:AJ15)&lt;'Capital Costs Details'!$G151+'Capital Costs Details'!$G163+'Capital Costs Details'!$G188,IF(AK5&lt;='Tariff Inputs'!$D17,('Capital Costs Details'!$L151+'Capital Costs Details'!$L163)*AK10,0),0)</f>
        <v>0</v>
      </c>
      <c r="AL15" s="104">
        <f>IF(SUM($E15:AK15)&lt;'Capital Costs Details'!$G151+'Capital Costs Details'!$G163+'Capital Costs Details'!$G188,IF(AL5&lt;='Tariff Inputs'!$D17,('Capital Costs Details'!$L151+'Capital Costs Details'!$L163)*AL10,0),0)</f>
        <v>0</v>
      </c>
      <c r="AM15" s="104">
        <f>IF(SUM($E15:AL15)&lt;'Capital Costs Details'!$G151+'Capital Costs Details'!$G163+'Capital Costs Details'!$G188,IF(AM5&lt;='Tariff Inputs'!$D17,('Capital Costs Details'!$L151+'Capital Costs Details'!$L163)*AM10,0),0)</f>
        <v>0</v>
      </c>
      <c r="AN15" s="104">
        <f>IF(SUM($E15:AM15)&lt;'Capital Costs Details'!$G151+'Capital Costs Details'!$G163+'Capital Costs Details'!$G188,IF(AN5&lt;='Tariff Inputs'!$D17,('Capital Costs Details'!$L151+'Capital Costs Details'!$L163)*AN10,0),0)</f>
        <v>0</v>
      </c>
      <c r="AO15" s="104">
        <f>IF(SUM($E15:AN15)&lt;'Capital Costs Details'!$G151+'Capital Costs Details'!$G163+'Capital Costs Details'!$G188,IF(AO5&lt;='Tariff Inputs'!$D17,('Capital Costs Details'!$L151+'Capital Costs Details'!$L163)*AO10,0),0)</f>
        <v>0</v>
      </c>
      <c r="AP15" s="104">
        <f>IF(SUM($E15:AO15)&lt;'Capital Costs Details'!$G151+'Capital Costs Details'!$G163+'Capital Costs Details'!$G188,IF(AP5&lt;='Tariff Inputs'!$D17,('Capital Costs Details'!$L151+'Capital Costs Details'!$L163)*AP10,0),0)</f>
        <v>0</v>
      </c>
      <c r="AQ15" s="104">
        <f>IF(SUM($E15:AP15)&lt;'Capital Costs Details'!$G151+'Capital Costs Details'!$G163+'Capital Costs Details'!$G188,IF(AQ5&lt;='Tariff Inputs'!$D17,('Capital Costs Details'!$L151+'Capital Costs Details'!$L163)*AQ10,0),0)</f>
        <v>0</v>
      </c>
      <c r="AR15" s="22">
        <f>IF(SUM($E15:AQ15)&lt;'Capital Costs Details'!$G151+'Capital Costs Details'!$G163+'Capital Costs Details'!$G188,IF(AR5&lt;='Tariff Inputs'!$D17,('Capital Costs Details'!$L151+'Capital Costs Details'!$L163)*AR10,0),0)</f>
        <v>0</v>
      </c>
    </row>
    <row r="16" spans="2:45" x14ac:dyDescent="0.2">
      <c r="C16" s="15" t="s">
        <v>84</v>
      </c>
      <c r="D16" s="283" t="str">
        <f>'Tariff Inputs'!I68</f>
        <v>KES</v>
      </c>
      <c r="E16" s="17">
        <f>IF(E5&lt;='Tariff Inputs'!$D17,'Tariff Inputs'!D52,0)</f>
        <v>0</v>
      </c>
      <c r="F16" s="17">
        <f>IF(F5&lt;='Tariff Inputs'!$D17,E16*(1+'Tariff Inputs'!$D92*'Tariff Inputs'!$D53),0)</f>
        <v>0</v>
      </c>
      <c r="G16" s="17">
        <f>IF(G5&lt;='Tariff Inputs'!$D17,F16*(1+'Tariff Inputs'!$D92*'Tariff Inputs'!$D53),0)</f>
        <v>0</v>
      </c>
      <c r="H16" s="17">
        <f>IF(H5&lt;='Tariff Inputs'!$D17,G16*(1+'Tariff Inputs'!$D92*'Tariff Inputs'!$D53),0)</f>
        <v>0</v>
      </c>
      <c r="I16" s="17">
        <f>IF(I5&lt;='Tariff Inputs'!$D17,H16*(1+'Tariff Inputs'!$D92*'Tariff Inputs'!$D53),0)</f>
        <v>0</v>
      </c>
      <c r="J16" s="17">
        <f>IF(J5&lt;='Tariff Inputs'!$D17,I16*(1+'Tariff Inputs'!$D92*'Tariff Inputs'!$D53),0)</f>
        <v>0</v>
      </c>
      <c r="K16" s="17">
        <f>IF(K5&lt;='Tariff Inputs'!$D17,J16*(1+'Tariff Inputs'!$D92*'Tariff Inputs'!$D53),0)</f>
        <v>0</v>
      </c>
      <c r="L16" s="17">
        <f>IF(L5&lt;='Tariff Inputs'!$D17,K16*(1+'Tariff Inputs'!$D92*'Tariff Inputs'!$D53),0)</f>
        <v>0</v>
      </c>
      <c r="M16" s="17">
        <f>IF(M5&lt;='Tariff Inputs'!$D17,L16*(1+'Tariff Inputs'!$D92*'Tariff Inputs'!$D53),0)</f>
        <v>0</v>
      </c>
      <c r="N16" s="17">
        <f>IF(N5&lt;='Tariff Inputs'!$D17,M16*(1+'Tariff Inputs'!$D92*'Tariff Inputs'!$D53),0)</f>
        <v>0</v>
      </c>
      <c r="O16" s="17">
        <f>IF(O5&lt;='Tariff Inputs'!$D17,N16*(1+'Tariff Inputs'!$D92*'Tariff Inputs'!$D53),0)</f>
        <v>0</v>
      </c>
      <c r="P16" s="17">
        <f>IF(P5&lt;='Tariff Inputs'!$D17,O16*(1+'Tariff Inputs'!$D92*'Tariff Inputs'!$D53),0)</f>
        <v>0</v>
      </c>
      <c r="Q16" s="17">
        <f>IF(Q5&lt;='Tariff Inputs'!$D17,P16*(1+'Tariff Inputs'!$D92*'Tariff Inputs'!$D53),0)</f>
        <v>0</v>
      </c>
      <c r="R16" s="17">
        <f>IF(R5&lt;='Tariff Inputs'!$D17,Q16*(1+'Tariff Inputs'!$D92*'Tariff Inputs'!$D53),0)</f>
        <v>0</v>
      </c>
      <c r="S16" s="17">
        <f>IF(S5&lt;='Tariff Inputs'!$D17,R16*(1+'Tariff Inputs'!$D92*'Tariff Inputs'!$D53),0)</f>
        <v>0</v>
      </c>
      <c r="T16" s="17">
        <f>IF(T5&lt;='Tariff Inputs'!$D17,S16*(1+'Tariff Inputs'!$D92*'Tariff Inputs'!$D53),0)</f>
        <v>0</v>
      </c>
      <c r="U16" s="17">
        <f>IF(U5&lt;='Tariff Inputs'!$D17,T16*(1+'Tariff Inputs'!$D92*'Tariff Inputs'!$D53),0)</f>
        <v>0</v>
      </c>
      <c r="V16" s="17">
        <f>IF(V5&lt;='Tariff Inputs'!$D17,U16*(1+'Tariff Inputs'!$D92*'Tariff Inputs'!$D53),0)</f>
        <v>0</v>
      </c>
      <c r="W16" s="17">
        <f>IF(W5&lt;='Tariff Inputs'!$D17,V16*(1+'Tariff Inputs'!$D92*'Tariff Inputs'!$D53),0)</f>
        <v>0</v>
      </c>
      <c r="X16" s="17">
        <f>IF(X5&lt;='Tariff Inputs'!$D17,W16*(1+'Tariff Inputs'!$D92*'Tariff Inputs'!$D53),0)</f>
        <v>0</v>
      </c>
      <c r="Y16" s="17">
        <f>IF(Y5&lt;='Tariff Inputs'!$D17,X16*(1+'Tariff Inputs'!$D92*'Tariff Inputs'!$D53),0)</f>
        <v>0</v>
      </c>
      <c r="Z16" s="17">
        <f>IF(Z5&lt;='Tariff Inputs'!$D17,Y16*(1+'Tariff Inputs'!$D92*'Tariff Inputs'!$D53),0)</f>
        <v>0</v>
      </c>
      <c r="AA16" s="17">
        <f>IF(AA5&lt;='Tariff Inputs'!$D17,Z16*(1+'Tariff Inputs'!$D92*'Tariff Inputs'!$D53),0)</f>
        <v>0</v>
      </c>
      <c r="AB16" s="17">
        <f>IF(AB5&lt;='Tariff Inputs'!$D17,AA16*(1+'Tariff Inputs'!$D92*'Tariff Inputs'!$D53),0)</f>
        <v>0</v>
      </c>
      <c r="AC16" s="17">
        <f>IF(AC5&lt;='Tariff Inputs'!$D17,AB16*(1+'Tariff Inputs'!$D92*'Tariff Inputs'!$D53),0)</f>
        <v>0</v>
      </c>
      <c r="AD16" s="17">
        <f>IF(AD5&lt;='Tariff Inputs'!$D17,AC16*(1+'Tariff Inputs'!$D92*'Tariff Inputs'!$D53),0)</f>
        <v>0</v>
      </c>
      <c r="AE16" s="17">
        <f>IF(AE5&lt;='Tariff Inputs'!$D17,AD16*(1+'Tariff Inputs'!$D92*'Tariff Inputs'!$D53),0)</f>
        <v>0</v>
      </c>
      <c r="AF16" s="17">
        <f>IF(AF5&lt;='Tariff Inputs'!$D17,AE16*(1+'Tariff Inputs'!$D92*'Tariff Inputs'!$D53),0)</f>
        <v>0</v>
      </c>
      <c r="AG16" s="17">
        <f>IF(AG5&lt;='Tariff Inputs'!$D17,AF16*(1+'Tariff Inputs'!$D92*'Tariff Inputs'!$D53),0)</f>
        <v>0</v>
      </c>
      <c r="AH16" s="17">
        <f>IF(AH5&lt;='Tariff Inputs'!$D17,AG16*(1+'Tariff Inputs'!$D92*'Tariff Inputs'!$D53),0)</f>
        <v>0</v>
      </c>
      <c r="AI16" s="17">
        <f>IF(AI5&lt;='Tariff Inputs'!$D17,AH16*(1+'Tariff Inputs'!$D92*'Tariff Inputs'!$D53),0)</f>
        <v>0</v>
      </c>
      <c r="AJ16" s="17">
        <f>IF(AJ5&lt;='Tariff Inputs'!$D17,AI16*(1+'Tariff Inputs'!$D92*'Tariff Inputs'!$D53),0)</f>
        <v>0</v>
      </c>
      <c r="AK16" s="17">
        <f>IF(AK5&lt;='Tariff Inputs'!$D17,AJ16*(1+'Tariff Inputs'!$D92*'Tariff Inputs'!$D53),0)</f>
        <v>0</v>
      </c>
      <c r="AL16" s="17">
        <f>IF(AL5&lt;='Tariff Inputs'!$D17,AK16*(1+'Tariff Inputs'!$D92*'Tariff Inputs'!$D53),0)</f>
        <v>0</v>
      </c>
      <c r="AM16" s="17">
        <f>IF(AM5&lt;='Tariff Inputs'!$D17,AL16*(1+'Tariff Inputs'!$D92*'Tariff Inputs'!$D53),0)</f>
        <v>0</v>
      </c>
      <c r="AN16" s="17">
        <f>IF(AN5&lt;='Tariff Inputs'!$D17,AM16*(1+'Tariff Inputs'!$D92*'Tariff Inputs'!$D53),0)</f>
        <v>0</v>
      </c>
      <c r="AO16" s="17">
        <f>IF(AO5&lt;='Tariff Inputs'!$D17,AN16*(1+'Tariff Inputs'!$D92*'Tariff Inputs'!$D53),0)</f>
        <v>0</v>
      </c>
      <c r="AP16" s="17">
        <f>IF(AP5&lt;='Tariff Inputs'!$D17,AO16*(1+'Tariff Inputs'!$D92*'Tariff Inputs'!$D53),0)</f>
        <v>0</v>
      </c>
      <c r="AQ16" s="17">
        <f>IF(AQ5&lt;='Tariff Inputs'!$D17,AP16*(1+'Tariff Inputs'!$D92*'Tariff Inputs'!$D53),0)</f>
        <v>0</v>
      </c>
      <c r="AR16" s="18">
        <f>IF(AR5&lt;='Tariff Inputs'!$D17,AQ16*(1+'Tariff Inputs'!$D92*'Tariff Inputs'!$D53),0)</f>
        <v>0</v>
      </c>
    </row>
    <row r="17" spans="1:188" x14ac:dyDescent="0.2">
      <c r="C17" s="444" t="s">
        <v>192</v>
      </c>
      <c r="D17" s="284" t="str">
        <f>'Tariff Inputs'!I68</f>
        <v>KES</v>
      </c>
      <c r="E17" s="21">
        <f>IF(E5&lt;='Tariff Inputs'!$D17,-'Tariff Inputs'!D60,0)</f>
        <v>0</v>
      </c>
      <c r="F17" s="21">
        <f>IF(F5&lt;='Tariff Inputs'!$D17,-'Tariff Inputs'!E60,0)</f>
        <v>0</v>
      </c>
      <c r="G17" s="21">
        <f>IF(G5&lt;='Tariff Inputs'!$D17,-'Tariff Inputs'!F60,0)</f>
        <v>0</v>
      </c>
      <c r="H17" s="21">
        <f>IF(H5&lt;='Tariff Inputs'!$D17,-'Tariff Inputs'!G60,0)</f>
        <v>0</v>
      </c>
      <c r="I17" s="21">
        <f>IF(I5&lt;='Tariff Inputs'!$D17,-'Tariff Inputs'!H60,0)</f>
        <v>0</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2"/>
    </row>
    <row r="18" spans="1:188" x14ac:dyDescent="0.2">
      <c r="C18" s="434" t="s">
        <v>293</v>
      </c>
      <c r="D18" s="12" t="str">
        <f>'Tariff Inputs'!I68</f>
        <v>KES</v>
      </c>
      <c r="E18" s="104">
        <f>'Capital Costs Details'!G151+'Capital Costs Details'!G163</f>
        <v>0</v>
      </c>
      <c r="F18" s="104"/>
      <c r="G18" s="104"/>
      <c r="H18" s="104"/>
      <c r="I18" s="104"/>
      <c r="J18" s="104">
        <f>+VLOOKUP(6,'Capital Costs Details'!$D168:$L187,4)</f>
        <v>0</v>
      </c>
      <c r="K18" s="104">
        <f>+VLOOKUP(7,'Capital Costs Details'!$D168:$L187,4)</f>
        <v>0</v>
      </c>
      <c r="L18" s="104">
        <f>+VLOOKUP(8,'Capital Costs Details'!$D168:$L187,4)</f>
        <v>0</v>
      </c>
      <c r="M18" s="104">
        <f>+VLOOKUP(9,'Capital Costs Details'!$D168:$L187,4)</f>
        <v>0</v>
      </c>
      <c r="N18" s="104">
        <f>+VLOOKUP(10,'Capital Costs Details'!$D168:$L187,4)</f>
        <v>0</v>
      </c>
      <c r="O18" s="104">
        <f>+VLOOKUP(11,'Capital Costs Details'!$D168:$L187,4)</f>
        <v>0</v>
      </c>
      <c r="P18" s="104">
        <f>+VLOOKUP(12,'Capital Costs Details'!$D168:$L187,4)</f>
        <v>0</v>
      </c>
      <c r="Q18" s="104">
        <f>+VLOOKUP(13,'Capital Costs Details'!$D168:$L187,4)</f>
        <v>0</v>
      </c>
      <c r="R18" s="104">
        <f>+VLOOKUP(14,'Capital Costs Details'!$D168:$L187,4)</f>
        <v>0</v>
      </c>
      <c r="S18" s="104">
        <f>+VLOOKUP(15,'Capital Costs Details'!$D168:$L187,4)</f>
        <v>0</v>
      </c>
      <c r="T18" s="104">
        <f>+VLOOKUP(16,'Capital Costs Details'!$D168:$L187,4)</f>
        <v>0</v>
      </c>
      <c r="U18" s="104">
        <f>+VLOOKUP(17,'Capital Costs Details'!$D168:$L187,4)</f>
        <v>0</v>
      </c>
      <c r="V18" s="104">
        <f>+VLOOKUP(18,'Capital Costs Details'!$D168:$L187,4)</f>
        <v>0</v>
      </c>
      <c r="W18" s="104">
        <f>+VLOOKUP(19,'Capital Costs Details'!$D168:$L187,4)</f>
        <v>0</v>
      </c>
      <c r="X18" s="104">
        <f>+VLOOKUP(20,'Capital Costs Details'!$D168:$L187,4)</f>
        <v>0</v>
      </c>
      <c r="Y18" s="104">
        <f>+VLOOKUP(21,'Capital Costs Details'!$D168:$L187,4)</f>
        <v>0</v>
      </c>
      <c r="Z18" s="104">
        <f>+VLOOKUP(22,'Capital Costs Details'!$D168:$L187,4)</f>
        <v>0</v>
      </c>
      <c r="AA18" s="104">
        <f>+VLOOKUP(23,'Capital Costs Details'!$D168:$L187,4)</f>
        <v>0</v>
      </c>
      <c r="AB18" s="104">
        <f>+VLOOKUP(24,'Capital Costs Details'!$D168:$L187,4)</f>
        <v>0</v>
      </c>
      <c r="AC18" s="104">
        <f>+VLOOKUP(25,'Capital Costs Details'!$D168:$L187,4)</f>
        <v>0</v>
      </c>
      <c r="AD18" s="104">
        <f>+VLOOKUP(26,'Capital Costs Details'!$D168:$L187,4)</f>
        <v>0</v>
      </c>
      <c r="AE18" s="104">
        <f>+VLOOKUP(27,'Capital Costs Details'!$D168:$L187,4)</f>
        <v>0</v>
      </c>
      <c r="AF18" s="104">
        <f>+VLOOKUP(28,'Capital Costs Details'!$D168:$L187,4)</f>
        <v>0</v>
      </c>
      <c r="AG18" s="104">
        <f>+VLOOKUP(29,'Capital Costs Details'!$D168:$L187,4)</f>
        <v>0</v>
      </c>
      <c r="AH18" s="104">
        <f>+VLOOKUP(30,'Capital Costs Details'!$D168:$L187,4)</f>
        <v>0</v>
      </c>
      <c r="AI18" s="104">
        <f>+VLOOKUP(31,'Capital Costs Details'!$D168:$L187,4)</f>
        <v>0</v>
      </c>
      <c r="AJ18" s="104">
        <f>+VLOOKUP(32,'Capital Costs Details'!$D168:$L187,4)</f>
        <v>0</v>
      </c>
      <c r="AK18" s="104">
        <f>+VLOOKUP(33,'Capital Costs Details'!$D168:$L187,4)</f>
        <v>0</v>
      </c>
      <c r="AL18" s="104">
        <f>+VLOOKUP(34,'Capital Costs Details'!$D168:$L187,4)</f>
        <v>0</v>
      </c>
      <c r="AM18" s="104">
        <f>+VLOOKUP(35,'Capital Costs Details'!$D168:$L187,4)</f>
        <v>0</v>
      </c>
      <c r="AN18" s="104">
        <f>+VLOOKUP(36,'Capital Costs Details'!$D168:$L187,4)</f>
        <v>0</v>
      </c>
      <c r="AO18" s="104">
        <f>+VLOOKUP(37,'Capital Costs Details'!$D168:$L187,4)</f>
        <v>0</v>
      </c>
      <c r="AP18" s="104">
        <f>+VLOOKUP(38,'Capital Costs Details'!$D168:$L187,4)</f>
        <v>0</v>
      </c>
      <c r="AQ18" s="104">
        <f>+VLOOKUP(39,'Capital Costs Details'!$D168:$L187,4)</f>
        <v>0</v>
      </c>
      <c r="AR18" s="110">
        <f>+VLOOKUP(40,'Capital Costs Details'!$D168:$L187,4)</f>
        <v>0</v>
      </c>
    </row>
    <row r="19" spans="1:188" x14ac:dyDescent="0.2">
      <c r="C19" s="434" t="s">
        <v>294</v>
      </c>
      <c r="D19" s="12" t="str">
        <f>'Tariff Inputs'!I68</f>
        <v>KES</v>
      </c>
      <c r="E19" s="104">
        <f>IF(E5&lt;='Tariff Inputs'!$D17,'Capital Costs Details'!G151+'Capital Costs Details'!G163,0)</f>
        <v>0</v>
      </c>
      <c r="F19" s="104">
        <f>IF(F5&lt;='Tariff Inputs'!$D17,E19,0)</f>
        <v>0</v>
      </c>
      <c r="G19" s="104">
        <f>IF(G5&lt;='Tariff Inputs'!$D17,F19,0)</f>
        <v>0</v>
      </c>
      <c r="H19" s="104">
        <f>IF(H5&lt;='Tariff Inputs'!$D17,G19,0)</f>
        <v>0</v>
      </c>
      <c r="I19" s="104">
        <f>IF(I5&lt;='Tariff Inputs'!$D17,H19,0)</f>
        <v>0</v>
      </c>
      <c r="J19" s="104">
        <f>IF(J5&lt;='Tariff Inputs'!$D17,I19+VLOOKUP(6,'Capital Costs Details'!$D168:$L187,4),0)</f>
        <v>0</v>
      </c>
      <c r="K19" s="104">
        <f>IF(K5&lt;='Tariff Inputs'!$D17,J19+VLOOKUP(7,'Capital Costs Details'!$D168:$L187,4),0)</f>
        <v>0</v>
      </c>
      <c r="L19" s="104">
        <f>IF(L5&lt;='Tariff Inputs'!$D17,K19+VLOOKUP(8,'Capital Costs Details'!$D168:$L187,4),0)</f>
        <v>0</v>
      </c>
      <c r="M19" s="104">
        <f>IF(M5&lt;='Tariff Inputs'!$D17,L19+VLOOKUP(9,'Capital Costs Details'!$D168:$L187,4),0)</f>
        <v>0</v>
      </c>
      <c r="N19" s="104">
        <f>IF(N5&lt;='Tariff Inputs'!$D17,M19+VLOOKUP(10,'Capital Costs Details'!$D168:$L187,4),0)</f>
        <v>0</v>
      </c>
      <c r="O19" s="104">
        <f>IF(O5&lt;='Tariff Inputs'!$D17,N19+VLOOKUP(11,'Capital Costs Details'!$D168:$L187,4),0)</f>
        <v>0</v>
      </c>
      <c r="P19" s="104">
        <f>IF(P5&lt;='Tariff Inputs'!$D17,O19+VLOOKUP(12,'Capital Costs Details'!$D168:$L187,4),0)</f>
        <v>0</v>
      </c>
      <c r="Q19" s="104">
        <f>IF(Q5&lt;='Tariff Inputs'!$D17,P19+VLOOKUP(13,'Capital Costs Details'!$D168:$L187,4),0)</f>
        <v>0</v>
      </c>
      <c r="R19" s="104">
        <f>IF(R5&lt;='Tariff Inputs'!$D17,Q19+VLOOKUP(14,'Capital Costs Details'!$D168:$L187,4),0)</f>
        <v>0</v>
      </c>
      <c r="S19" s="104">
        <f>IF(S5&lt;='Tariff Inputs'!$D17,R19+VLOOKUP(15,'Capital Costs Details'!$D168:$L187,4),0)</f>
        <v>0</v>
      </c>
      <c r="T19" s="104">
        <f>IF(T5&lt;='Tariff Inputs'!$D17,S19+VLOOKUP(16,'Capital Costs Details'!$D168:$L187,4),0)</f>
        <v>0</v>
      </c>
      <c r="U19" s="104">
        <f>IF(U5&lt;='Tariff Inputs'!$D17,T19+VLOOKUP(17,'Capital Costs Details'!$D168:$L187,4),0)</f>
        <v>0</v>
      </c>
      <c r="V19" s="104">
        <f>IF(V5&lt;='Tariff Inputs'!$D17,U19+VLOOKUP(18,'Capital Costs Details'!$D168:$L187,4),0)</f>
        <v>0</v>
      </c>
      <c r="W19" s="104">
        <f>IF(W5&lt;='Tariff Inputs'!$D17,V19+VLOOKUP(19,'Capital Costs Details'!$D168:$L187,4),0)</f>
        <v>0</v>
      </c>
      <c r="X19" s="104">
        <f>IF(X5&lt;='Tariff Inputs'!$D17,W19+VLOOKUP(20,'Capital Costs Details'!$D168:$L187,4),0)</f>
        <v>0</v>
      </c>
      <c r="Y19" s="104">
        <f>IF(Y5&lt;='Tariff Inputs'!$D17,X19+VLOOKUP(21,'Capital Costs Details'!$D168:$L187,4),0)</f>
        <v>0</v>
      </c>
      <c r="Z19" s="104">
        <f>IF(Z5&lt;='Tariff Inputs'!$D17,Y19+VLOOKUP(22,'Capital Costs Details'!$D168:$L187,4),0)</f>
        <v>0</v>
      </c>
      <c r="AA19" s="104">
        <f>IF(AA5&lt;='Tariff Inputs'!$D17,Z19+VLOOKUP(23,'Capital Costs Details'!$D168:$L187,4),0)</f>
        <v>0</v>
      </c>
      <c r="AB19" s="104">
        <f>IF(AB5&lt;='Tariff Inputs'!$D17,AA19+VLOOKUP(20,'Capital Costs Details'!$D168:$L187,4),0)</f>
        <v>0</v>
      </c>
      <c r="AC19" s="104">
        <f>IF(AC5&lt;='Tariff Inputs'!$D17,AB19+VLOOKUP(25,'Capital Costs Details'!$D168:$L187,4),0)</f>
        <v>0</v>
      </c>
      <c r="AD19" s="104">
        <f>IF(AD5&lt;='Tariff Inputs'!$D17,AC19+VLOOKUP(26,'Capital Costs Details'!$D168:$L187,4),0)</f>
        <v>0</v>
      </c>
      <c r="AE19" s="104">
        <f>IF(AE5&lt;='Tariff Inputs'!$D17,AD19+VLOOKUP(27,'Capital Costs Details'!$D168:$L187,4),0)</f>
        <v>0</v>
      </c>
      <c r="AF19" s="104">
        <f>IF(AF5&lt;='Tariff Inputs'!$D17,AE19+VLOOKUP(28,'Capital Costs Details'!$D168:$L187,4),0)</f>
        <v>0</v>
      </c>
      <c r="AG19" s="104">
        <f>IF(AG5&lt;='Tariff Inputs'!$D17,AF19+VLOOKUP(29,'Capital Costs Details'!$D168:$L187,4),0)</f>
        <v>0</v>
      </c>
      <c r="AH19" s="104">
        <f>IF(AH5&lt;='Tariff Inputs'!$D17,AG19+VLOOKUP(30,'Capital Costs Details'!$D168:$L187,4),0)</f>
        <v>0</v>
      </c>
      <c r="AI19" s="104">
        <f>IF(AI5&lt;='Tariff Inputs'!$D17,AH19+VLOOKUP(31,'Capital Costs Details'!$D168:$L187,4),0)</f>
        <v>0</v>
      </c>
      <c r="AJ19" s="104">
        <f>IF(AJ5&lt;='Tariff Inputs'!$D17,AI19+VLOOKUP(32,'Capital Costs Details'!$D168:$L187,4),0)</f>
        <v>0</v>
      </c>
      <c r="AK19" s="104">
        <f>IF(AK5&lt;='Tariff Inputs'!$D17,AJ19+VLOOKUP(33,'Capital Costs Details'!$D168:$L187,4),0)</f>
        <v>0</v>
      </c>
      <c r="AL19" s="104">
        <f>IF(AL5&lt;='Tariff Inputs'!$D17,AK19+VLOOKUP(334,'Capital Costs Details'!$D168:$L187,4),0)</f>
        <v>0</v>
      </c>
      <c r="AM19" s="104">
        <f>IF(AM5&lt;='Tariff Inputs'!$D17,AL19+VLOOKUP(35,'Capital Costs Details'!$D168:$L187,4),0)</f>
        <v>0</v>
      </c>
      <c r="AN19" s="104">
        <f>IF(AN5&lt;='Tariff Inputs'!$D17,AM19+VLOOKUP(36,'Capital Costs Details'!$D168:$L187,4),0)</f>
        <v>0</v>
      </c>
      <c r="AO19" s="104">
        <f>IF(AO5&lt;='Tariff Inputs'!$D17,AN19+VLOOKUP(37,'Capital Costs Details'!$D168:$L187,4),0)</f>
        <v>0</v>
      </c>
      <c r="AP19" s="104">
        <f>IF(AP5&lt;='Tariff Inputs'!$D17,AO19+VLOOKUP(38,'Capital Costs Details'!$D168:$L187,4),0)</f>
        <v>0</v>
      </c>
      <c r="AQ19" s="104">
        <f>IF(AQ5&lt;='Tariff Inputs'!$D17,AP19+VLOOKUP(39,'Capital Costs Details'!$D168:$L187,4),0)</f>
        <v>0</v>
      </c>
      <c r="AR19" s="110">
        <f>IF(AY5&lt;='Tariff Inputs'!$D17,AQ19+VLOOKUP(40,'Capital Costs Details'!$D168:$L187,4),0)</f>
        <v>0</v>
      </c>
    </row>
    <row r="20" spans="1:188" x14ac:dyDescent="0.2">
      <c r="C20" s="445" t="s">
        <v>190</v>
      </c>
      <c r="D20" s="12" t="str">
        <f>'Tariff Inputs'!I68</f>
        <v>KES</v>
      </c>
      <c r="E20" s="104">
        <f>-'Tariff Inputs'!D58</f>
        <v>0</v>
      </c>
      <c r="F20" s="104">
        <f>-'Tariff Inputs'!E58</f>
        <v>0</v>
      </c>
      <c r="G20" s="104">
        <f>-'Tariff Inputs'!F58</f>
        <v>0</v>
      </c>
      <c r="H20" s="104">
        <f>-'Tariff Inputs'!G58</f>
        <v>0</v>
      </c>
      <c r="I20" s="104">
        <f>-'Tariff Inputs'!H58</f>
        <v>0</v>
      </c>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10"/>
    </row>
    <row r="21" spans="1:188" x14ac:dyDescent="0.2">
      <c r="C21" s="445" t="s">
        <v>542</v>
      </c>
      <c r="D21" s="12" t="str">
        <f>'Tariff Inputs'!I68</f>
        <v>KES</v>
      </c>
      <c r="E21" s="104">
        <f>-'Tariff Inputs'!D59</f>
        <v>0</v>
      </c>
      <c r="F21" s="104">
        <f>-'Tariff Inputs'!E59</f>
        <v>0</v>
      </c>
      <c r="G21" s="104">
        <f>-'Tariff Inputs'!F59</f>
        <v>0</v>
      </c>
      <c r="H21" s="104">
        <f>-'Tariff Inputs'!G59</f>
        <v>0</v>
      </c>
      <c r="I21" s="104">
        <f>-'Tariff Inputs'!H59</f>
        <v>0</v>
      </c>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10"/>
    </row>
    <row r="22" spans="1:188" x14ac:dyDescent="0.2">
      <c r="C22" s="445" t="s">
        <v>292</v>
      </c>
      <c r="D22" s="12" t="str">
        <f>'Tariff Inputs'!I68</f>
        <v>KES</v>
      </c>
      <c r="E22" s="104">
        <f>IF(E5&lt;='Tariff Inputs'!$D17,-SUM(E14:E15),0)</f>
        <v>0</v>
      </c>
      <c r="F22" s="104">
        <f>IF(F5&lt;='Tariff Inputs'!$D17,E22-SUM(F14:F15),0)</f>
        <v>0</v>
      </c>
      <c r="G22" s="104">
        <f>IF(G5&lt;='Tariff Inputs'!$D17,F22-SUM(G14:G15),0)</f>
        <v>0</v>
      </c>
      <c r="H22" s="104">
        <f>IF(H5&lt;='Tariff Inputs'!$D17,G22-SUM(H14:H15),0)</f>
        <v>0</v>
      </c>
      <c r="I22" s="104">
        <f>IF(I5&lt;='Tariff Inputs'!$D17,H22-SUM(I14:I15),0)</f>
        <v>0</v>
      </c>
      <c r="J22" s="104">
        <f>IF(J5&lt;='Tariff Inputs'!$D17,I22-SUM(J14:J15),0)</f>
        <v>0</v>
      </c>
      <c r="K22" s="104">
        <f>IF(K5&lt;='Tariff Inputs'!$D17,J22-SUM(K14:K15),0)</f>
        <v>0</v>
      </c>
      <c r="L22" s="104">
        <f>IF(L5&lt;='Tariff Inputs'!$D17,K22-SUM(L14:L15),0)</f>
        <v>0</v>
      </c>
      <c r="M22" s="104">
        <f>IF(M5&lt;='Tariff Inputs'!$D17,L22-SUM(M14:M15),0)</f>
        <v>0</v>
      </c>
      <c r="N22" s="104">
        <f>IF(N5&lt;='Tariff Inputs'!$D17,M22-SUM(N14:N15),0)</f>
        <v>0</v>
      </c>
      <c r="O22" s="104">
        <f>IF(O5&lt;='Tariff Inputs'!$D17,N22-SUM(O14:O15),0)</f>
        <v>0</v>
      </c>
      <c r="P22" s="104">
        <f>IF(P5&lt;='Tariff Inputs'!$D17,O22-SUM(P14:P15),0)</f>
        <v>0</v>
      </c>
      <c r="Q22" s="104">
        <f>IF(Q5&lt;='Tariff Inputs'!$D17,P22-SUM(Q14:Q15),0)</f>
        <v>0</v>
      </c>
      <c r="R22" s="104">
        <f>IF(R5&lt;='Tariff Inputs'!$D17,Q22-SUM(R14:R15),0)</f>
        <v>0</v>
      </c>
      <c r="S22" s="104">
        <f>IF(S5&lt;='Tariff Inputs'!$D17,R22-SUM(S14:S15),0)</f>
        <v>0</v>
      </c>
      <c r="T22" s="104">
        <f>IF(T5&lt;='Tariff Inputs'!$D17,S22-SUM(T14:T15),0)</f>
        <v>0</v>
      </c>
      <c r="U22" s="104">
        <f>IF(U5&lt;='Tariff Inputs'!$D17,T22-SUM(U14:U15),0)</f>
        <v>0</v>
      </c>
      <c r="V22" s="104">
        <f>IF(V5&lt;='Tariff Inputs'!$D17,U22-SUM(V14:V15),0)</f>
        <v>0</v>
      </c>
      <c r="W22" s="104">
        <f>IF(W5&lt;='Tariff Inputs'!$D17,V22-SUM(W14:W15),0)</f>
        <v>0</v>
      </c>
      <c r="X22" s="104">
        <f>IF(X5&lt;='Tariff Inputs'!$D17,W22-SUM(X14:X15),0)</f>
        <v>0</v>
      </c>
      <c r="Y22" s="104">
        <f>IF(Y5&lt;='Tariff Inputs'!$D17,X22-SUM(Y14:Y15),0)</f>
        <v>0</v>
      </c>
      <c r="Z22" s="104">
        <f>IF(Z5&lt;='Tariff Inputs'!$D17,Y22-SUM(Z14:Z15),0)</f>
        <v>0</v>
      </c>
      <c r="AA22" s="104">
        <f>IF(AA5&lt;='Tariff Inputs'!$D17,Z22-SUM(AA14:AA15),0)</f>
        <v>0</v>
      </c>
      <c r="AB22" s="104">
        <f>IF(AB5&lt;='Tariff Inputs'!$D17,AA22-SUM(AB14:AB15),0)</f>
        <v>0</v>
      </c>
      <c r="AC22" s="104">
        <f>IF(AC5&lt;='Tariff Inputs'!$D17,AB22-SUM(AC14:AC15),0)</f>
        <v>0</v>
      </c>
      <c r="AD22" s="104">
        <f>IF(AD5&lt;='Tariff Inputs'!$D17,AC22-SUM(AD14:AD15),0)</f>
        <v>0</v>
      </c>
      <c r="AE22" s="104">
        <f>IF(AE5&lt;='Tariff Inputs'!$D17,AD22-SUM(AE14:AE15),0)</f>
        <v>0</v>
      </c>
      <c r="AF22" s="104">
        <f>IF(AF5&lt;='Tariff Inputs'!$D17,AE22-SUM(AF14:AF15),0)</f>
        <v>0</v>
      </c>
      <c r="AG22" s="104">
        <f>IF(AG5&lt;='Tariff Inputs'!$D17,AF22-SUM(AG14:AG15),0)</f>
        <v>0</v>
      </c>
      <c r="AH22" s="104">
        <f>IF(AH5&lt;='Tariff Inputs'!$D17,AG22-SUM(AH14:AH15),0)</f>
        <v>0</v>
      </c>
      <c r="AI22" s="104">
        <f>IF(AI5&lt;='Tariff Inputs'!$D17,AH22-SUM(AI14:AI15),0)</f>
        <v>0</v>
      </c>
      <c r="AJ22" s="104">
        <f>IF(AJ5&lt;='Tariff Inputs'!$D17,AI22-SUM(AJ14:AJ15),0)</f>
        <v>0</v>
      </c>
      <c r="AK22" s="104">
        <f>IF(AK5&lt;='Tariff Inputs'!$D17,AJ22-SUM(AK14:AK15),0)</f>
        <v>0</v>
      </c>
      <c r="AL22" s="104">
        <f>IF(AL5&lt;='Tariff Inputs'!$D17,AK22-SUM(AL14:AL15),0)</f>
        <v>0</v>
      </c>
      <c r="AM22" s="104">
        <f>IF(AM5&lt;='Tariff Inputs'!$D17,AL22-SUM(AM14:AM15),0)</f>
        <v>0</v>
      </c>
      <c r="AN22" s="104">
        <f>IF(AN5&lt;='Tariff Inputs'!$D17,AM22-SUM(AN14:AN15),0)</f>
        <v>0</v>
      </c>
      <c r="AO22" s="104">
        <f>IF(AO5&lt;='Tariff Inputs'!$D17,AN22-SUM(AO14:AO15),0)</f>
        <v>0</v>
      </c>
      <c r="AP22" s="104">
        <f>IF(AP5&lt;='Tariff Inputs'!$D17,AO22-SUM(AP14:AP15),0)</f>
        <v>0</v>
      </c>
      <c r="AQ22" s="104">
        <f>IF(AQ5&lt;='Tariff Inputs'!$D17,AP22-SUM(AQ14:AQ15),0)</f>
        <v>0</v>
      </c>
      <c r="AR22" s="110">
        <f>IF(AR5&lt;='Tariff Inputs'!$D17,AQ22-SUM(AR14:AR15),0)</f>
        <v>0</v>
      </c>
    </row>
    <row r="23" spans="1:188" s="24" customFormat="1" x14ac:dyDescent="0.2">
      <c r="A23" s="369"/>
      <c r="C23" s="436" t="s">
        <v>87</v>
      </c>
      <c r="D23" s="442" t="str">
        <f>'Tariff Inputs'!I68</f>
        <v>KES</v>
      </c>
      <c r="E23" s="437">
        <f>'Tariff Inputs'!D73</f>
        <v>0</v>
      </c>
      <c r="F23" s="437">
        <f>IF(F5&lt;='Tariff Inputs'!$D17,E23*(1+'Tariff Inputs'!$D$92),0)</f>
        <v>0</v>
      </c>
      <c r="G23" s="437">
        <f>IF(G5&lt;='Tariff Inputs'!$D17,F23*(1+'Tariff Inputs'!$D$92),0)</f>
        <v>0</v>
      </c>
      <c r="H23" s="437">
        <f>IF(H5&lt;='Tariff Inputs'!$D17,G23*(1+'Tariff Inputs'!$D$92),0)</f>
        <v>0</v>
      </c>
      <c r="I23" s="437">
        <f>IF(I5&lt;='Tariff Inputs'!$D17,H23*(1+'Tariff Inputs'!$D$92),0)</f>
        <v>0</v>
      </c>
      <c r="J23" s="437">
        <f>IF(J5&lt;='Tariff Inputs'!$D17,I23*(1+'Tariff Inputs'!$D$92),0)</f>
        <v>0</v>
      </c>
      <c r="K23" s="437">
        <f>IF(K5&lt;='Tariff Inputs'!$D17,J23*(1+'Tariff Inputs'!$D$92),0)</f>
        <v>0</v>
      </c>
      <c r="L23" s="437">
        <f>IF(L5&lt;='Tariff Inputs'!$D17,K23*(1+'Tariff Inputs'!$D$92),0)</f>
        <v>0</v>
      </c>
      <c r="M23" s="437">
        <f>IF(M5&lt;='Tariff Inputs'!$D17,L23*(1+'Tariff Inputs'!$D$92),0)</f>
        <v>0</v>
      </c>
      <c r="N23" s="437">
        <f>IF(N5&lt;='Tariff Inputs'!$D17,M23*(1+'Tariff Inputs'!$D$92),0)</f>
        <v>0</v>
      </c>
      <c r="O23" s="437">
        <f>IF(O5&lt;='Tariff Inputs'!$D17,N23*(1+'Tariff Inputs'!$D$92),0)</f>
        <v>0</v>
      </c>
      <c r="P23" s="437">
        <f>IF(P5&lt;='Tariff Inputs'!$D17,O23*(1+'Tariff Inputs'!$D$92),0)</f>
        <v>0</v>
      </c>
      <c r="Q23" s="437">
        <f>IF(Q5&lt;='Tariff Inputs'!$D17,P23*(1+'Tariff Inputs'!$D$92),0)</f>
        <v>0</v>
      </c>
      <c r="R23" s="437">
        <f>IF(R5&lt;='Tariff Inputs'!$D17,Q23*(1+'Tariff Inputs'!$D$92),0)</f>
        <v>0</v>
      </c>
      <c r="S23" s="437">
        <f>IF(S5&lt;='Tariff Inputs'!$D17,R23*(1+'Tariff Inputs'!$D$92),0)</f>
        <v>0</v>
      </c>
      <c r="T23" s="437">
        <f>IF(T5&lt;='Tariff Inputs'!$D17,S23*(1+'Tariff Inputs'!$D$92),0)</f>
        <v>0</v>
      </c>
      <c r="U23" s="437">
        <f>IF(U5&lt;='Tariff Inputs'!$D17,T23*(1+'Tariff Inputs'!$D$92),0)</f>
        <v>0</v>
      </c>
      <c r="V23" s="437">
        <f>IF(V5&lt;='Tariff Inputs'!$D17,U23*(1+'Tariff Inputs'!$D$92),0)</f>
        <v>0</v>
      </c>
      <c r="W23" s="437">
        <f>IF(W5&lt;='Tariff Inputs'!$D17,V23*(1+'Tariff Inputs'!$D$92),0)</f>
        <v>0</v>
      </c>
      <c r="X23" s="437">
        <f>IF(X5&lt;='Tariff Inputs'!$D17,W23*(1+'Tariff Inputs'!$D$92),0)</f>
        <v>0</v>
      </c>
      <c r="Y23" s="437">
        <f>IF(Y5&lt;='Tariff Inputs'!$D17,X23*(1+'Tariff Inputs'!$D$92),0)</f>
        <v>0</v>
      </c>
      <c r="Z23" s="437">
        <f>IF(Z5&lt;='Tariff Inputs'!$D17,Y23*(1+'Tariff Inputs'!$D$92),0)</f>
        <v>0</v>
      </c>
      <c r="AA23" s="437">
        <f>IF(AA5&lt;='Tariff Inputs'!$D17,Z23*(1+'Tariff Inputs'!$D$92),0)</f>
        <v>0</v>
      </c>
      <c r="AB23" s="437">
        <f>IF(AB5&lt;='Tariff Inputs'!$D17,AA23*(1+'Tariff Inputs'!$D$92),0)</f>
        <v>0</v>
      </c>
      <c r="AC23" s="437">
        <f>IF(AC5&lt;='Tariff Inputs'!$D17,AB23*(1+'Tariff Inputs'!$D$92),0)</f>
        <v>0</v>
      </c>
      <c r="AD23" s="437">
        <f>IF(AD5&lt;='Tariff Inputs'!$D17,AC23*(1+'Tariff Inputs'!$D$92),0)</f>
        <v>0</v>
      </c>
      <c r="AE23" s="437">
        <f>IF(AE5&lt;='Tariff Inputs'!$D17,AD23*(1+'Tariff Inputs'!$D$92),0)</f>
        <v>0</v>
      </c>
      <c r="AF23" s="437">
        <f>IF(AF5&lt;='Tariff Inputs'!$D17,AE23*(1+'Tariff Inputs'!$D$92),0)</f>
        <v>0</v>
      </c>
      <c r="AG23" s="437">
        <f>IF(AG5&lt;='Tariff Inputs'!$D17,AF23*(1+'Tariff Inputs'!$D$92),0)</f>
        <v>0</v>
      </c>
      <c r="AH23" s="437">
        <f>IF(AH5&lt;='Tariff Inputs'!$D17,AG23*(1+'Tariff Inputs'!$D$92),0)</f>
        <v>0</v>
      </c>
      <c r="AI23" s="437">
        <f>IF(AI5&lt;='Tariff Inputs'!$D17,AH23*(1+'Tariff Inputs'!$D$92),0)</f>
        <v>0</v>
      </c>
      <c r="AJ23" s="437">
        <f>IF(AJ5&lt;='Tariff Inputs'!$D17,AI23*(1+'Tariff Inputs'!$D$92),0)</f>
        <v>0</v>
      </c>
      <c r="AK23" s="437">
        <f>IF(AK5&lt;='Tariff Inputs'!$D17,AJ23*(1+'Tariff Inputs'!$D$92),0)</f>
        <v>0</v>
      </c>
      <c r="AL23" s="437">
        <f>IF(AL5&lt;='Tariff Inputs'!$D17,AK23*(1+'Tariff Inputs'!$D$92),0)</f>
        <v>0</v>
      </c>
      <c r="AM23" s="437">
        <f>IF(AM5&lt;='Tariff Inputs'!$D17,AL23*(1+'Tariff Inputs'!$D$92),0)</f>
        <v>0</v>
      </c>
      <c r="AN23" s="437">
        <f>IF(AN5&lt;='Tariff Inputs'!$D17,AM23*(1+'Tariff Inputs'!$D$92),0)</f>
        <v>0</v>
      </c>
      <c r="AO23" s="437">
        <f>IF(AO5&lt;='Tariff Inputs'!$D17,AN23*(1+'Tariff Inputs'!$D$92),0)</f>
        <v>0</v>
      </c>
      <c r="AP23" s="437">
        <f>IF(AP5&lt;='Tariff Inputs'!$D17,AO23*(1+'Tariff Inputs'!$D$92),0)</f>
        <v>0</v>
      </c>
      <c r="AQ23" s="437">
        <f>IF(AQ5&lt;='Tariff Inputs'!$D17,AP23*(1+'Tariff Inputs'!$D$92),0)</f>
        <v>0</v>
      </c>
      <c r="AR23" s="438">
        <f>IF(AR5&lt;='Tariff Inputs'!$D17,AQ23*(1+'Tariff Inputs'!$D$92),0)</f>
        <v>0</v>
      </c>
      <c r="AT23" s="369"/>
      <c r="AU23" s="369"/>
      <c r="AV23" s="369"/>
      <c r="AW23" s="369"/>
      <c r="AX23" s="369"/>
      <c r="AY23" s="369"/>
      <c r="AZ23" s="369"/>
      <c r="BA23" s="369"/>
      <c r="BB23" s="369"/>
      <c r="BC23" s="369"/>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369"/>
      <c r="CN23" s="369"/>
      <c r="CO23" s="369"/>
      <c r="CP23" s="369"/>
      <c r="CQ23" s="369"/>
      <c r="CR23" s="369"/>
      <c r="CS23" s="369"/>
      <c r="CT23" s="369"/>
      <c r="CU23" s="369"/>
      <c r="CV23" s="369"/>
      <c r="CW23" s="369"/>
      <c r="CX23" s="369"/>
      <c r="CY23" s="369"/>
      <c r="CZ23" s="369"/>
      <c r="DA23" s="369"/>
      <c r="DB23" s="369"/>
      <c r="DC23" s="369"/>
      <c r="DD23" s="369"/>
      <c r="DE23" s="369"/>
      <c r="DF23" s="369"/>
      <c r="DG23" s="369"/>
      <c r="DH23" s="369"/>
      <c r="DI23" s="369"/>
      <c r="DJ23" s="369"/>
      <c r="DK23" s="369"/>
      <c r="DL23" s="369"/>
      <c r="DM23" s="369"/>
      <c r="DN23" s="369"/>
      <c r="DO23" s="369"/>
      <c r="DP23" s="369"/>
      <c r="DQ23" s="369"/>
      <c r="DR23" s="369"/>
      <c r="DS23" s="369"/>
      <c r="DT23" s="369"/>
      <c r="DU23" s="369"/>
      <c r="DV23" s="369"/>
      <c r="DW23" s="369"/>
      <c r="DX23" s="369"/>
      <c r="DY23" s="369"/>
      <c r="DZ23" s="369"/>
      <c r="EA23" s="369"/>
      <c r="EB23" s="369"/>
      <c r="EC23" s="369"/>
      <c r="ED23" s="369"/>
      <c r="EE23" s="369"/>
      <c r="EF23" s="369"/>
      <c r="EG23" s="369"/>
      <c r="EH23" s="369"/>
      <c r="EI23" s="369"/>
      <c r="EJ23" s="369"/>
      <c r="EK23" s="369"/>
      <c r="EL23" s="369"/>
      <c r="EM23" s="369"/>
      <c r="EN23" s="369"/>
      <c r="EO23" s="369"/>
      <c r="EP23" s="369"/>
      <c r="EQ23" s="369"/>
      <c r="ER23" s="369"/>
      <c r="ES23" s="369"/>
      <c r="ET23" s="369"/>
      <c r="EU23" s="369"/>
      <c r="EV23" s="369"/>
      <c r="EW23" s="369"/>
      <c r="EX23" s="369"/>
      <c r="EY23" s="369"/>
      <c r="EZ23" s="369"/>
      <c r="FA23" s="369"/>
      <c r="FB23" s="369"/>
      <c r="FC23" s="369"/>
      <c r="FD23" s="369"/>
      <c r="FE23" s="369"/>
      <c r="FF23" s="369"/>
      <c r="FG23" s="369"/>
      <c r="FH23" s="369"/>
      <c r="FI23" s="369"/>
      <c r="FJ23" s="369"/>
      <c r="FK23" s="369"/>
      <c r="FL23" s="369"/>
      <c r="FM23" s="369"/>
      <c r="FN23" s="369"/>
      <c r="FO23" s="369"/>
      <c r="FP23" s="369"/>
      <c r="FQ23" s="369"/>
      <c r="FR23" s="369"/>
      <c r="FS23" s="369"/>
      <c r="FT23" s="369"/>
      <c r="FU23" s="369"/>
      <c r="FV23" s="369"/>
      <c r="FW23" s="369"/>
      <c r="FX23" s="369"/>
      <c r="FY23" s="369"/>
      <c r="FZ23" s="369"/>
      <c r="GA23" s="369"/>
      <c r="GB23" s="369"/>
      <c r="GC23" s="369"/>
      <c r="GD23" s="369"/>
      <c r="GE23" s="369"/>
      <c r="GF23" s="369"/>
    </row>
    <row r="24" spans="1:188" x14ac:dyDescent="0.2">
      <c r="C24" s="434" t="s">
        <v>230</v>
      </c>
      <c r="D24" s="12" t="str">
        <f>'Tariff Inputs'!I68</f>
        <v>KES</v>
      </c>
      <c r="E24" s="104">
        <f>E19+E21+E22+E23</f>
        <v>0</v>
      </c>
      <c r="F24" s="104">
        <f t="shared" ref="F24:AR24" si="2">F19+F21+F22+F23</f>
        <v>0</v>
      </c>
      <c r="G24" s="104">
        <f t="shared" si="2"/>
        <v>0</v>
      </c>
      <c r="H24" s="104">
        <f t="shared" si="2"/>
        <v>0</v>
      </c>
      <c r="I24" s="104">
        <f t="shared" si="2"/>
        <v>0</v>
      </c>
      <c r="J24" s="104">
        <f t="shared" si="2"/>
        <v>0</v>
      </c>
      <c r="K24" s="104">
        <f t="shared" si="2"/>
        <v>0</v>
      </c>
      <c r="L24" s="104">
        <f t="shared" si="2"/>
        <v>0</v>
      </c>
      <c r="M24" s="104">
        <f t="shared" si="2"/>
        <v>0</v>
      </c>
      <c r="N24" s="104">
        <f t="shared" si="2"/>
        <v>0</v>
      </c>
      <c r="O24" s="104">
        <f t="shared" si="2"/>
        <v>0</v>
      </c>
      <c r="P24" s="104">
        <f t="shared" si="2"/>
        <v>0</v>
      </c>
      <c r="Q24" s="104">
        <f t="shared" si="2"/>
        <v>0</v>
      </c>
      <c r="R24" s="104">
        <f t="shared" si="2"/>
        <v>0</v>
      </c>
      <c r="S24" s="104">
        <f t="shared" si="2"/>
        <v>0</v>
      </c>
      <c r="T24" s="104">
        <f t="shared" si="2"/>
        <v>0</v>
      </c>
      <c r="U24" s="104">
        <f t="shared" si="2"/>
        <v>0</v>
      </c>
      <c r="V24" s="104">
        <f t="shared" si="2"/>
        <v>0</v>
      </c>
      <c r="W24" s="104">
        <f t="shared" si="2"/>
        <v>0</v>
      </c>
      <c r="X24" s="104">
        <f t="shared" si="2"/>
        <v>0</v>
      </c>
      <c r="Y24" s="104">
        <f t="shared" si="2"/>
        <v>0</v>
      </c>
      <c r="Z24" s="104">
        <f t="shared" si="2"/>
        <v>0</v>
      </c>
      <c r="AA24" s="104">
        <f t="shared" si="2"/>
        <v>0</v>
      </c>
      <c r="AB24" s="104">
        <f t="shared" si="2"/>
        <v>0</v>
      </c>
      <c r="AC24" s="104">
        <f t="shared" si="2"/>
        <v>0</v>
      </c>
      <c r="AD24" s="104">
        <f t="shared" si="2"/>
        <v>0</v>
      </c>
      <c r="AE24" s="104">
        <f t="shared" si="2"/>
        <v>0</v>
      </c>
      <c r="AF24" s="104">
        <f t="shared" si="2"/>
        <v>0</v>
      </c>
      <c r="AG24" s="104">
        <f t="shared" si="2"/>
        <v>0</v>
      </c>
      <c r="AH24" s="104">
        <f t="shared" si="2"/>
        <v>0</v>
      </c>
      <c r="AI24" s="104">
        <f t="shared" si="2"/>
        <v>0</v>
      </c>
      <c r="AJ24" s="104">
        <f t="shared" si="2"/>
        <v>0</v>
      </c>
      <c r="AK24" s="104">
        <f t="shared" si="2"/>
        <v>0</v>
      </c>
      <c r="AL24" s="104">
        <f t="shared" si="2"/>
        <v>0</v>
      </c>
      <c r="AM24" s="104">
        <f t="shared" si="2"/>
        <v>0</v>
      </c>
      <c r="AN24" s="104">
        <f t="shared" si="2"/>
        <v>0</v>
      </c>
      <c r="AO24" s="104">
        <f t="shared" si="2"/>
        <v>0</v>
      </c>
      <c r="AP24" s="104">
        <f t="shared" si="2"/>
        <v>0</v>
      </c>
      <c r="AQ24" s="104">
        <f t="shared" si="2"/>
        <v>0</v>
      </c>
      <c r="AR24" s="18">
        <f t="shared" si="2"/>
        <v>0</v>
      </c>
    </row>
    <row r="25" spans="1:188" x14ac:dyDescent="0.2">
      <c r="C25" s="434" t="s">
        <v>231</v>
      </c>
      <c r="D25" s="12" t="str">
        <f>'Tariff Inputs'!I68</f>
        <v>KES</v>
      </c>
      <c r="E25" s="104">
        <f>E19+E20+E21+E22+E23</f>
        <v>0</v>
      </c>
      <c r="F25" s="104">
        <f t="shared" ref="F25:AR25" si="3">F19+F20+F21+F22+F23</f>
        <v>0</v>
      </c>
      <c r="G25" s="104">
        <f t="shared" si="3"/>
        <v>0</v>
      </c>
      <c r="H25" s="104">
        <f t="shared" si="3"/>
        <v>0</v>
      </c>
      <c r="I25" s="104">
        <f t="shared" si="3"/>
        <v>0</v>
      </c>
      <c r="J25" s="104">
        <f t="shared" si="3"/>
        <v>0</v>
      </c>
      <c r="K25" s="104">
        <f t="shared" si="3"/>
        <v>0</v>
      </c>
      <c r="L25" s="104">
        <f t="shared" si="3"/>
        <v>0</v>
      </c>
      <c r="M25" s="104">
        <f t="shared" si="3"/>
        <v>0</v>
      </c>
      <c r="N25" s="104">
        <f t="shared" si="3"/>
        <v>0</v>
      </c>
      <c r="O25" s="104">
        <f t="shared" si="3"/>
        <v>0</v>
      </c>
      <c r="P25" s="104">
        <f t="shared" si="3"/>
        <v>0</v>
      </c>
      <c r="Q25" s="104">
        <f t="shared" si="3"/>
        <v>0</v>
      </c>
      <c r="R25" s="104">
        <f t="shared" si="3"/>
        <v>0</v>
      </c>
      <c r="S25" s="104">
        <f t="shared" si="3"/>
        <v>0</v>
      </c>
      <c r="T25" s="104">
        <f t="shared" si="3"/>
        <v>0</v>
      </c>
      <c r="U25" s="104">
        <f t="shared" si="3"/>
        <v>0</v>
      </c>
      <c r="V25" s="104">
        <f t="shared" si="3"/>
        <v>0</v>
      </c>
      <c r="W25" s="104">
        <f t="shared" si="3"/>
        <v>0</v>
      </c>
      <c r="X25" s="104">
        <f t="shared" si="3"/>
        <v>0</v>
      </c>
      <c r="Y25" s="104">
        <f t="shared" si="3"/>
        <v>0</v>
      </c>
      <c r="Z25" s="104">
        <f t="shared" si="3"/>
        <v>0</v>
      </c>
      <c r="AA25" s="104">
        <f t="shared" si="3"/>
        <v>0</v>
      </c>
      <c r="AB25" s="104">
        <f t="shared" si="3"/>
        <v>0</v>
      </c>
      <c r="AC25" s="104">
        <f t="shared" si="3"/>
        <v>0</v>
      </c>
      <c r="AD25" s="104">
        <f t="shared" si="3"/>
        <v>0</v>
      </c>
      <c r="AE25" s="104">
        <f t="shared" si="3"/>
        <v>0</v>
      </c>
      <c r="AF25" s="104">
        <f t="shared" si="3"/>
        <v>0</v>
      </c>
      <c r="AG25" s="104">
        <f t="shared" si="3"/>
        <v>0</v>
      </c>
      <c r="AH25" s="104">
        <f t="shared" si="3"/>
        <v>0</v>
      </c>
      <c r="AI25" s="104">
        <f t="shared" si="3"/>
        <v>0</v>
      </c>
      <c r="AJ25" s="104">
        <f t="shared" si="3"/>
        <v>0</v>
      </c>
      <c r="AK25" s="104">
        <f t="shared" si="3"/>
        <v>0</v>
      </c>
      <c r="AL25" s="104">
        <f t="shared" si="3"/>
        <v>0</v>
      </c>
      <c r="AM25" s="104">
        <f t="shared" si="3"/>
        <v>0</v>
      </c>
      <c r="AN25" s="104">
        <f t="shared" si="3"/>
        <v>0</v>
      </c>
      <c r="AO25" s="104">
        <f t="shared" si="3"/>
        <v>0</v>
      </c>
      <c r="AP25" s="104">
        <f t="shared" si="3"/>
        <v>0</v>
      </c>
      <c r="AQ25" s="104">
        <f t="shared" si="3"/>
        <v>0</v>
      </c>
      <c r="AR25" s="22">
        <f t="shared" si="3"/>
        <v>0</v>
      </c>
    </row>
    <row r="26" spans="1:188" s="14" customFormat="1" x14ac:dyDescent="0.2">
      <c r="A26" s="370"/>
      <c r="C26" s="439" t="s">
        <v>104</v>
      </c>
      <c r="D26" s="443" t="s">
        <v>13</v>
      </c>
      <c r="E26" s="440">
        <f>IF(E5&lt;='Tariff Inputs'!$D17,'Tariff Inputs'!$H$86,0)</f>
        <v>0</v>
      </c>
      <c r="F26" s="440">
        <f>IF(F5&lt;='Tariff Inputs'!$D17,'Tariff Inputs'!$H$86,0)</f>
        <v>0</v>
      </c>
      <c r="G26" s="440">
        <f>IF(G5&lt;='Tariff Inputs'!$D17,'Tariff Inputs'!$H$86,0)</f>
        <v>0</v>
      </c>
      <c r="H26" s="440">
        <f>IF(H5&lt;='Tariff Inputs'!$D17,'Tariff Inputs'!$H$86,0)</f>
        <v>0</v>
      </c>
      <c r="I26" s="440">
        <f>IF(I5&lt;='Tariff Inputs'!$D17,'Tariff Inputs'!$H$86,0)</f>
        <v>0</v>
      </c>
      <c r="J26" s="440">
        <f>IF(J5&lt;='Tariff Inputs'!$D17,'Tariff Inputs'!$H$86,0)</f>
        <v>0</v>
      </c>
      <c r="K26" s="440">
        <f>IF(K5&lt;='Tariff Inputs'!$D17,'Tariff Inputs'!$H$86,0)</f>
        <v>0</v>
      </c>
      <c r="L26" s="440">
        <f>IF(L5&lt;='Tariff Inputs'!$D17,'Tariff Inputs'!$H$86,0)</f>
        <v>0</v>
      </c>
      <c r="M26" s="440">
        <f>IF(M5&lt;='Tariff Inputs'!$D17,'Tariff Inputs'!$H$86,0)</f>
        <v>0</v>
      </c>
      <c r="N26" s="440">
        <f>IF(N5&lt;='Tariff Inputs'!$D17,'Tariff Inputs'!$H$86,0)</f>
        <v>0</v>
      </c>
      <c r="O26" s="440">
        <f>IF(O5&lt;='Tariff Inputs'!$D17,'Tariff Inputs'!$H$86,0)</f>
        <v>0</v>
      </c>
      <c r="P26" s="440">
        <f>IF(P5&lt;='Tariff Inputs'!$D17,'Tariff Inputs'!$H$86,0)</f>
        <v>0</v>
      </c>
      <c r="Q26" s="440">
        <f>IF(Q5&lt;='Tariff Inputs'!$D17,'Tariff Inputs'!$H$86,0)</f>
        <v>0</v>
      </c>
      <c r="R26" s="440">
        <f>IF(R5&lt;='Tariff Inputs'!$D17,'Tariff Inputs'!$H$86,0)</f>
        <v>0</v>
      </c>
      <c r="S26" s="440">
        <f>IF(S5&lt;='Tariff Inputs'!$D17,'Tariff Inputs'!$H$86,0)</f>
        <v>0</v>
      </c>
      <c r="T26" s="440">
        <f>IF(T5&lt;='Tariff Inputs'!$D17,'Tariff Inputs'!$H$86,0)</f>
        <v>0</v>
      </c>
      <c r="U26" s="440">
        <f>IF(U5&lt;='Tariff Inputs'!$D17,'Tariff Inputs'!$H$86,0)</f>
        <v>0</v>
      </c>
      <c r="V26" s="440">
        <f>IF(V5&lt;='Tariff Inputs'!$D17,'Tariff Inputs'!$H$86,0)</f>
        <v>0</v>
      </c>
      <c r="W26" s="440">
        <f>IF(W5&lt;='Tariff Inputs'!$D17,'Tariff Inputs'!$H$86,0)</f>
        <v>0</v>
      </c>
      <c r="X26" s="440">
        <f>IF(X5&lt;='Tariff Inputs'!$D17,'Tariff Inputs'!$H$86,0)</f>
        <v>0</v>
      </c>
      <c r="Y26" s="440">
        <f>IF(Y5&lt;='Tariff Inputs'!$D17,'Tariff Inputs'!$H$86,0)</f>
        <v>0</v>
      </c>
      <c r="Z26" s="440">
        <f>IF(Z5&lt;='Tariff Inputs'!$D17,'Tariff Inputs'!$H$86,0)</f>
        <v>0</v>
      </c>
      <c r="AA26" s="440">
        <f>IF(AA5&lt;='Tariff Inputs'!$D17,'Tariff Inputs'!$H$86,0)</f>
        <v>0</v>
      </c>
      <c r="AB26" s="440">
        <f>IF(AB5&lt;='Tariff Inputs'!$D17,'Tariff Inputs'!$H$86,0)</f>
        <v>0</v>
      </c>
      <c r="AC26" s="440">
        <f>IF(AC5&lt;='Tariff Inputs'!$D17,'Tariff Inputs'!$H$86,0)</f>
        <v>0</v>
      </c>
      <c r="AD26" s="440">
        <f>IF(AD5&lt;='Tariff Inputs'!$D17,'Tariff Inputs'!$H$86,0)</f>
        <v>0</v>
      </c>
      <c r="AE26" s="440">
        <f>IF(AE5&lt;='Tariff Inputs'!$D17,'Tariff Inputs'!$H$86,0)</f>
        <v>0</v>
      </c>
      <c r="AF26" s="440">
        <f>IF(AF5&lt;='Tariff Inputs'!$D17,'Tariff Inputs'!$H$86,0)</f>
        <v>0</v>
      </c>
      <c r="AG26" s="440">
        <f>IF(AG5&lt;='Tariff Inputs'!$D17,'Tariff Inputs'!$H$86,0)</f>
        <v>0</v>
      </c>
      <c r="AH26" s="440">
        <f>IF(AH5&lt;='Tariff Inputs'!$D17,'Tariff Inputs'!$H$86,0)</f>
        <v>0</v>
      </c>
      <c r="AI26" s="440">
        <f>IF(AI5&lt;='Tariff Inputs'!$D17,'Tariff Inputs'!$H$86,0)</f>
        <v>0</v>
      </c>
      <c r="AJ26" s="440">
        <f>IF(AJ5&lt;='Tariff Inputs'!$D17,'Tariff Inputs'!$H$86,0)</f>
        <v>0</v>
      </c>
      <c r="AK26" s="440">
        <f>IF(AK5&lt;='Tariff Inputs'!$D17,'Tariff Inputs'!$H$86,0)</f>
        <v>0</v>
      </c>
      <c r="AL26" s="440">
        <f>IF(AL5&lt;='Tariff Inputs'!$D17,'Tariff Inputs'!$H$86,0)</f>
        <v>0</v>
      </c>
      <c r="AM26" s="440">
        <f>IF(AM5&lt;='Tariff Inputs'!$D17,'Tariff Inputs'!$H$86,0)</f>
        <v>0</v>
      </c>
      <c r="AN26" s="440">
        <f>IF(AN5&lt;='Tariff Inputs'!$D17,'Tariff Inputs'!$H$86,0)</f>
        <v>0</v>
      </c>
      <c r="AO26" s="440">
        <f>IF(AO5&lt;='Tariff Inputs'!$D17,'Tariff Inputs'!$H$86,0)</f>
        <v>0</v>
      </c>
      <c r="AP26" s="440">
        <f>IF(AP5&lt;='Tariff Inputs'!$D17,'Tariff Inputs'!$H$86,0)</f>
        <v>0</v>
      </c>
      <c r="AQ26" s="440">
        <f>IF(AQ5&lt;='Tariff Inputs'!$D17,'Tariff Inputs'!$H$86,0)</f>
        <v>0</v>
      </c>
      <c r="AR26" s="441">
        <f>IF(AR5&lt;='Tariff Inputs'!$D17,'Tariff Inputs'!$H$86,0)</f>
        <v>0</v>
      </c>
      <c r="AT26" s="370"/>
      <c r="AU26" s="370"/>
      <c r="AV26" s="370"/>
      <c r="AW26" s="370"/>
      <c r="AX26" s="370"/>
      <c r="AY26" s="370"/>
      <c r="AZ26" s="370"/>
      <c r="BA26" s="370"/>
      <c r="BB26" s="370"/>
      <c r="BC26" s="370"/>
      <c r="BD26" s="370"/>
      <c r="BE26" s="370"/>
      <c r="BF26" s="370"/>
      <c r="BG26" s="370"/>
      <c r="BH26" s="370"/>
      <c r="BI26" s="370"/>
      <c r="BJ26" s="370"/>
      <c r="BK26" s="370"/>
      <c r="BL26" s="370"/>
      <c r="BM26" s="370"/>
      <c r="BN26" s="370"/>
      <c r="BO26" s="370"/>
      <c r="BP26" s="370"/>
      <c r="BQ26" s="370"/>
      <c r="BR26" s="370"/>
      <c r="BS26" s="370"/>
      <c r="BT26" s="370"/>
      <c r="BU26" s="370"/>
      <c r="BV26" s="370"/>
      <c r="BW26" s="370"/>
      <c r="BX26" s="370"/>
      <c r="BY26" s="370"/>
      <c r="BZ26" s="370"/>
      <c r="CA26" s="370"/>
      <c r="CB26" s="370"/>
      <c r="CC26" s="370"/>
      <c r="CD26" s="370"/>
      <c r="CE26" s="370"/>
      <c r="CF26" s="370"/>
      <c r="CG26" s="370"/>
      <c r="CH26" s="370"/>
      <c r="CI26" s="370"/>
      <c r="CJ26" s="370"/>
      <c r="CK26" s="370"/>
      <c r="CL26" s="370"/>
      <c r="CM26" s="370"/>
      <c r="CN26" s="370"/>
      <c r="CO26" s="370"/>
      <c r="CP26" s="370"/>
      <c r="CQ26" s="370"/>
      <c r="CR26" s="370"/>
      <c r="CS26" s="370"/>
      <c r="CT26" s="370"/>
      <c r="CU26" s="370"/>
      <c r="CV26" s="370"/>
      <c r="CW26" s="370"/>
      <c r="CX26" s="370"/>
      <c r="CY26" s="370"/>
      <c r="CZ26" s="370"/>
      <c r="DA26" s="370"/>
      <c r="DB26" s="370"/>
      <c r="DC26" s="370"/>
      <c r="DD26" s="370"/>
      <c r="DE26" s="370"/>
      <c r="DF26" s="370"/>
      <c r="DG26" s="370"/>
      <c r="DH26" s="370"/>
      <c r="DI26" s="370"/>
      <c r="DJ26" s="370"/>
      <c r="DK26" s="370"/>
      <c r="DL26" s="370"/>
      <c r="DM26" s="370"/>
      <c r="DN26" s="370"/>
      <c r="DO26" s="370"/>
      <c r="DP26" s="370"/>
      <c r="DQ26" s="370"/>
      <c r="DR26" s="370"/>
      <c r="DS26" s="370"/>
      <c r="DT26" s="370"/>
      <c r="DU26" s="370"/>
      <c r="DV26" s="370"/>
      <c r="DW26" s="370"/>
      <c r="DX26" s="370"/>
      <c r="DY26" s="370"/>
      <c r="DZ26" s="370"/>
      <c r="EA26" s="370"/>
      <c r="EB26" s="370"/>
      <c r="EC26" s="370"/>
      <c r="ED26" s="370"/>
      <c r="EE26" s="370"/>
      <c r="EF26" s="370"/>
      <c r="EG26" s="370"/>
      <c r="EH26" s="370"/>
      <c r="EI26" s="370"/>
      <c r="EJ26" s="370"/>
      <c r="EK26" s="370"/>
      <c r="EL26" s="370"/>
      <c r="EM26" s="370"/>
      <c r="EN26" s="370"/>
      <c r="EO26" s="370"/>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0"/>
      <c r="FP26" s="370"/>
      <c r="FQ26" s="370"/>
      <c r="FR26" s="370"/>
      <c r="FS26" s="370"/>
      <c r="FT26" s="370"/>
      <c r="FU26" s="370"/>
      <c r="FV26" s="370"/>
      <c r="FW26" s="370"/>
      <c r="FX26" s="370"/>
      <c r="FY26" s="370"/>
      <c r="FZ26" s="370"/>
      <c r="GA26" s="370"/>
      <c r="GB26" s="370"/>
      <c r="GC26" s="370"/>
      <c r="GD26" s="370"/>
      <c r="GE26" s="370"/>
      <c r="GF26" s="370"/>
    </row>
    <row r="27" spans="1:188" x14ac:dyDescent="0.2">
      <c r="B27" s="104"/>
      <c r="C27" s="434" t="s">
        <v>232</v>
      </c>
      <c r="D27" s="12" t="str">
        <f>'Tariff Inputs'!I68</f>
        <v>KES</v>
      </c>
      <c r="E27" s="104">
        <f>IF(E5&lt;='Tariff Inputs'!$D17,(E18+E23)*'Tariff Inputs'!$H85,0)</f>
        <v>0</v>
      </c>
      <c r="F27" s="104">
        <f>IF(F5&lt;='Tariff Inputs'!$D17,(E24+F18+F23)*'Tariff Inputs'!$H85,0)</f>
        <v>0</v>
      </c>
      <c r="G27" s="104">
        <f>IF(G5&lt;='Tariff Inputs'!$D17,(F24+G18+G23)*'Tariff Inputs'!$H85,0)</f>
        <v>0</v>
      </c>
      <c r="H27" s="104">
        <f>IF(H5&lt;='Tariff Inputs'!$D17,(G24+H18+H23)*'Tariff Inputs'!$H85,0)</f>
        <v>0</v>
      </c>
      <c r="I27" s="104">
        <f>IF(I5&lt;='Tariff Inputs'!$D17,(H24+I18+I23)*'Tariff Inputs'!$H85,0)</f>
        <v>0</v>
      </c>
      <c r="J27" s="104">
        <f>IF(J5&lt;='Tariff Inputs'!$D17,(I24+J18+J23)*'Tariff Inputs'!$H85,0)</f>
        <v>0</v>
      </c>
      <c r="K27" s="104">
        <f>IF(K5&lt;='Tariff Inputs'!$D17,(J24+K18+K23)*'Tariff Inputs'!$H85,0)</f>
        <v>0</v>
      </c>
      <c r="L27" s="104">
        <f>IF(L5&lt;='Tariff Inputs'!$D17,(K24+L18+L23)*'Tariff Inputs'!$H85,0)</f>
        <v>0</v>
      </c>
      <c r="M27" s="104">
        <f>IF(M5&lt;='Tariff Inputs'!$D17,(L24+M18+M23)*'Tariff Inputs'!$H85,0)</f>
        <v>0</v>
      </c>
      <c r="N27" s="104">
        <f>IF(N5&lt;='Tariff Inputs'!$D17,(M24+N18+N23)*'Tariff Inputs'!$H85,0)</f>
        <v>0</v>
      </c>
      <c r="O27" s="104">
        <f>IF(O5&lt;='Tariff Inputs'!$D17,(N24+O18+O23)*'Tariff Inputs'!$H85,0)</f>
        <v>0</v>
      </c>
      <c r="P27" s="104">
        <f>IF(P5&lt;='Tariff Inputs'!$D17,(O24+P18+P23)*'Tariff Inputs'!$H85,0)</f>
        <v>0</v>
      </c>
      <c r="Q27" s="104">
        <f>IF(Q5&lt;='Tariff Inputs'!$D17,(P24+Q18+Q23)*'Tariff Inputs'!$H85,0)</f>
        <v>0</v>
      </c>
      <c r="R27" s="104">
        <f>IF(R5&lt;='Tariff Inputs'!$D17,(Q24+R18+R23)*'Tariff Inputs'!$H85,0)</f>
        <v>0</v>
      </c>
      <c r="S27" s="104">
        <f>IF(S5&lt;='Tariff Inputs'!$D17,(R24+S18+S23)*'Tariff Inputs'!$H85,0)</f>
        <v>0</v>
      </c>
      <c r="T27" s="104">
        <f>IF(T5&lt;='Tariff Inputs'!$D17,(S24+T18+T23)*'Tariff Inputs'!$H85,0)</f>
        <v>0</v>
      </c>
      <c r="U27" s="104">
        <f>IF(U5&lt;='Tariff Inputs'!$D17,(T24+U18+U23)*'Tariff Inputs'!$H85,0)</f>
        <v>0</v>
      </c>
      <c r="V27" s="104">
        <f>IF(V5&lt;='Tariff Inputs'!$D17,(U24+V18+V23)*'Tariff Inputs'!$H85,0)</f>
        <v>0</v>
      </c>
      <c r="W27" s="104">
        <f>IF(W5&lt;='Tariff Inputs'!$D17,(V24+W18+W23)*'Tariff Inputs'!$H85,0)</f>
        <v>0</v>
      </c>
      <c r="X27" s="104">
        <f>IF(X5&lt;='Tariff Inputs'!$D17,(W24+X18+X23)*'Tariff Inputs'!$H85,0)</f>
        <v>0</v>
      </c>
      <c r="Y27" s="104">
        <f>IF(Y5&lt;='Tariff Inputs'!$D17,(X24+Y18+Y23)*'Tariff Inputs'!$H85,0)</f>
        <v>0</v>
      </c>
      <c r="Z27" s="104">
        <f>IF(Z5&lt;='Tariff Inputs'!$D17,(Y24+Z18+Z23)*'Tariff Inputs'!$H85,0)</f>
        <v>0</v>
      </c>
      <c r="AA27" s="104">
        <f>IF(AA5&lt;='Tariff Inputs'!$D17,(Z24+AA18+AA23)*'Tariff Inputs'!$H85,0)</f>
        <v>0</v>
      </c>
      <c r="AB27" s="104">
        <f>IF(AB5&lt;='Tariff Inputs'!$D17,(AA24+AB18+AB23)*'Tariff Inputs'!$H85,0)</f>
        <v>0</v>
      </c>
      <c r="AC27" s="104">
        <f>IF(AC5&lt;='Tariff Inputs'!$D17,(AB24+AC18+AC23)*'Tariff Inputs'!$H85,0)</f>
        <v>0</v>
      </c>
      <c r="AD27" s="104">
        <f>IF(AD5&lt;='Tariff Inputs'!$D17,(AC24+AD18+AD23)*'Tariff Inputs'!$H85,0)</f>
        <v>0</v>
      </c>
      <c r="AE27" s="104">
        <f>IF(AE5&lt;='Tariff Inputs'!$D17,(AD24+AE18+AE23)*'Tariff Inputs'!$H85,0)</f>
        <v>0</v>
      </c>
      <c r="AF27" s="104">
        <f>IF(AF5&lt;='Tariff Inputs'!$D17,(AE24+AF18+AF23)*'Tariff Inputs'!$H85,0)</f>
        <v>0</v>
      </c>
      <c r="AG27" s="104">
        <f>IF(AG5&lt;='Tariff Inputs'!$D17,(AF24+AG18+AG23)*'Tariff Inputs'!$H85,0)</f>
        <v>0</v>
      </c>
      <c r="AH27" s="104">
        <f>IF(AH5&lt;='Tariff Inputs'!$D17,(AG24+AH18+AH23)*'Tariff Inputs'!$H85,0)</f>
        <v>0</v>
      </c>
      <c r="AI27" s="104">
        <f>IF(AI5&lt;='Tariff Inputs'!$D17,(AH24+AI18+AI23)*'Tariff Inputs'!$H85,0)</f>
        <v>0</v>
      </c>
      <c r="AJ27" s="104">
        <f>IF(AJ5&lt;='Tariff Inputs'!$D17,(AI24+AJ18+AJ23)*'Tariff Inputs'!$H85,0)</f>
        <v>0</v>
      </c>
      <c r="AK27" s="104">
        <f>IF(AK5&lt;='Tariff Inputs'!$D17,(AJ24+AK18+AK23)*'Tariff Inputs'!$H85,0)</f>
        <v>0</v>
      </c>
      <c r="AL27" s="104">
        <f>IF(AL5&lt;='Tariff Inputs'!$D17,(AK24+AL18+AL23)*'Tariff Inputs'!$H85,0)</f>
        <v>0</v>
      </c>
      <c r="AM27" s="104">
        <f>IF(AM5&lt;='Tariff Inputs'!$D17,(AL24+AM18+AM23)*'Tariff Inputs'!$H85,0)</f>
        <v>0</v>
      </c>
      <c r="AN27" s="104">
        <f>IF(AN5&lt;='Tariff Inputs'!$D17,(AM24+AN18+AN23)*'Tariff Inputs'!$H85,0)</f>
        <v>0</v>
      </c>
      <c r="AO27" s="104">
        <f>IF(AO5&lt;='Tariff Inputs'!$D17,(AN24+AO18+AO23)*'Tariff Inputs'!$H85,0)</f>
        <v>0</v>
      </c>
      <c r="AP27" s="104">
        <f>IF(AP5&lt;='Tariff Inputs'!$D17,(AO24+AP18+AP23)*'Tariff Inputs'!$H85,0)</f>
        <v>0</v>
      </c>
      <c r="AQ27" s="104">
        <f>IF(AQ5&lt;='Tariff Inputs'!$D17,(AP24+AQ18+AQ23)*'Tariff Inputs'!$H85,0)</f>
        <v>0</v>
      </c>
      <c r="AR27" s="18">
        <f>IF(AR5&lt;='Tariff Inputs'!$D17,(AQ24+AR18+AR23)*'Tariff Inputs'!$H85,0)</f>
        <v>0</v>
      </c>
    </row>
    <row r="28" spans="1:188" x14ac:dyDescent="0.2">
      <c r="B28" s="104"/>
      <c r="C28" s="435" t="s">
        <v>203</v>
      </c>
      <c r="D28" s="122" t="str">
        <f>'Tariff Inputs'!I68</f>
        <v>KES</v>
      </c>
      <c r="E28" s="13">
        <f>IF(E5&lt;='Tariff Inputs'!$D17,(E18+E23)*'Tariff Inputs'!$H84,0)</f>
        <v>0</v>
      </c>
      <c r="F28" s="13">
        <f>IF(F5&lt;='Tariff Inputs'!$D17,(E24+F18+F23)*'Tariff Inputs'!$H84,0)</f>
        <v>0</v>
      </c>
      <c r="G28" s="13">
        <f>IF(G5&lt;='Tariff Inputs'!$D17,(F24+G18+G23)*'Tariff Inputs'!$H84,0)</f>
        <v>0</v>
      </c>
      <c r="H28" s="13">
        <f>IF(H5&lt;='Tariff Inputs'!$D17,(G24+H18+H23)*'Tariff Inputs'!$H84,0)</f>
        <v>0</v>
      </c>
      <c r="I28" s="13">
        <f>IF(I5&lt;='Tariff Inputs'!$D17,(H24+I18+I23)*'Tariff Inputs'!$H84,0)</f>
        <v>0</v>
      </c>
      <c r="J28" s="13">
        <f>IF(J5&lt;='Tariff Inputs'!$D17,(I24+J18+J23)*'Tariff Inputs'!$H84,0)</f>
        <v>0</v>
      </c>
      <c r="K28" s="13">
        <f>IF(K5&lt;='Tariff Inputs'!$D17,(J24+K18+K23)*'Tariff Inputs'!$H84,0)</f>
        <v>0</v>
      </c>
      <c r="L28" s="13">
        <f>IF(L5&lt;='Tariff Inputs'!$D17,(K24+L18+L23)*'Tariff Inputs'!$H84,0)</f>
        <v>0</v>
      </c>
      <c r="M28" s="13">
        <f>IF(M5&lt;='Tariff Inputs'!$D17,(L24+M18+M23)*'Tariff Inputs'!$H84,0)</f>
        <v>0</v>
      </c>
      <c r="N28" s="13">
        <f>IF(N5&lt;='Tariff Inputs'!$D17,(M24+N18+N23)*'Tariff Inputs'!$H84,0)</f>
        <v>0</v>
      </c>
      <c r="O28" s="13">
        <f>IF(O5&lt;='Tariff Inputs'!$D17,(N24+O18+O23)*'Tariff Inputs'!$H84,0)</f>
        <v>0</v>
      </c>
      <c r="P28" s="13">
        <f>IF(P5&lt;='Tariff Inputs'!$D17,(O24+P18+P23)*'Tariff Inputs'!$H84,0)</f>
        <v>0</v>
      </c>
      <c r="Q28" s="13">
        <f>IF(Q5&lt;='Tariff Inputs'!$D17,(P24+Q18+Q23)*'Tariff Inputs'!$H84,0)</f>
        <v>0</v>
      </c>
      <c r="R28" s="13">
        <f>IF(R5&lt;='Tariff Inputs'!$D17,(Q24+R18+R23)*'Tariff Inputs'!$H84,0)</f>
        <v>0</v>
      </c>
      <c r="S28" s="13">
        <f>IF(S5&lt;='Tariff Inputs'!$D17,(R24+S18+S23)*'Tariff Inputs'!$H84,0)</f>
        <v>0</v>
      </c>
      <c r="T28" s="13">
        <f>IF(T5&lt;='Tariff Inputs'!$D17,(S24+T18+T23)*'Tariff Inputs'!$H84,0)</f>
        <v>0</v>
      </c>
      <c r="U28" s="13">
        <f>IF(U5&lt;='Tariff Inputs'!$D17,(T24+U18+U23)*'Tariff Inputs'!$H84,0)</f>
        <v>0</v>
      </c>
      <c r="V28" s="13">
        <f>IF(V5&lt;='Tariff Inputs'!$D17,(U24+V18+V23)*'Tariff Inputs'!$H84,0)</f>
        <v>0</v>
      </c>
      <c r="W28" s="13">
        <f>IF(W5&lt;='Tariff Inputs'!$D17,(V24+W18+W23)*'Tariff Inputs'!$H84,0)</f>
        <v>0</v>
      </c>
      <c r="X28" s="13">
        <f>IF(X5&lt;='Tariff Inputs'!$D17,(W24+X18+X23)*'Tariff Inputs'!$H84,0)</f>
        <v>0</v>
      </c>
      <c r="Y28" s="13">
        <f>IF(Y5&lt;='Tariff Inputs'!$D17,(X24+Y18+Y23)*'Tariff Inputs'!$H84,0)</f>
        <v>0</v>
      </c>
      <c r="Z28" s="13">
        <f>IF(Z5&lt;='Tariff Inputs'!$D17,(Y24+Z18+Z23)*'Tariff Inputs'!$H84,0)</f>
        <v>0</v>
      </c>
      <c r="AA28" s="13">
        <f>IF(AA5&lt;='Tariff Inputs'!$D17,(Z24+AA18+AA23)*'Tariff Inputs'!$H84,0)</f>
        <v>0</v>
      </c>
      <c r="AB28" s="13">
        <f>IF(AB5&lt;='Tariff Inputs'!$D17,(AA24+AB18+AB23)*'Tariff Inputs'!$H84,0)</f>
        <v>0</v>
      </c>
      <c r="AC28" s="13">
        <f>IF(AC5&lt;='Tariff Inputs'!$D17,(AB24+AC18+AC23)*'Tariff Inputs'!$H84,0)</f>
        <v>0</v>
      </c>
      <c r="AD28" s="13">
        <f>IF(AD5&lt;='Tariff Inputs'!$D17,(AC24+AD18+AD23)*'Tariff Inputs'!$H84,0)</f>
        <v>0</v>
      </c>
      <c r="AE28" s="13">
        <f>IF(AE5&lt;='Tariff Inputs'!$D17,(AD24+AE18+AE23)*'Tariff Inputs'!$H84,0)</f>
        <v>0</v>
      </c>
      <c r="AF28" s="13">
        <f>IF(AF5&lt;='Tariff Inputs'!$D17,(AE24+AF18+AF23)*'Tariff Inputs'!$H84,0)</f>
        <v>0</v>
      </c>
      <c r="AG28" s="13">
        <f>IF(AG5&lt;='Tariff Inputs'!$D17,(AF24+AG18+AG23)*'Tariff Inputs'!$H84,0)</f>
        <v>0</v>
      </c>
      <c r="AH28" s="13">
        <f>IF(AH5&lt;='Tariff Inputs'!$D17,(AG24+AH18+AH23)*'Tariff Inputs'!$H84,0)</f>
        <v>0</v>
      </c>
      <c r="AI28" s="13">
        <f>IF(AI5&lt;='Tariff Inputs'!$D17,(AH24+AI18+AI23)*'Tariff Inputs'!$H84,0)</f>
        <v>0</v>
      </c>
      <c r="AJ28" s="13">
        <f>IF(AJ5&lt;='Tariff Inputs'!$D17,(AI24+AJ18+AJ23)*'Tariff Inputs'!$H84,0)</f>
        <v>0</v>
      </c>
      <c r="AK28" s="13">
        <f>IF(AK5&lt;='Tariff Inputs'!$D17,(AJ24+AK18+AK23)*'Tariff Inputs'!$H84,0)</f>
        <v>0</v>
      </c>
      <c r="AL28" s="13">
        <f>IF(AL5&lt;='Tariff Inputs'!$D17,(AK24+AL18+AL23)*'Tariff Inputs'!$H84,0)</f>
        <v>0</v>
      </c>
      <c r="AM28" s="13">
        <f>IF(AM5&lt;='Tariff Inputs'!$D17,(AL24+AM18+AM23)*'Tariff Inputs'!$H84,0)</f>
        <v>0</v>
      </c>
      <c r="AN28" s="13">
        <f>IF(AN5&lt;='Tariff Inputs'!$D17,(AM24+AN18+AN23)*'Tariff Inputs'!$H84,0)</f>
        <v>0</v>
      </c>
      <c r="AO28" s="13">
        <f>IF(AO5&lt;='Tariff Inputs'!$D17,(AN24+AO18+AO23)*'Tariff Inputs'!$H84,0)</f>
        <v>0</v>
      </c>
      <c r="AP28" s="13">
        <f>IF(AP5&lt;='Tariff Inputs'!$D17,(AO24+AP18+AP23)*'Tariff Inputs'!$H84,0)</f>
        <v>0</v>
      </c>
      <c r="AQ28" s="13">
        <f>IF(AQ5&lt;='Tariff Inputs'!$D17,(AP24+AQ18+AQ23)*'Tariff Inputs'!$H84,0)</f>
        <v>0</v>
      </c>
      <c r="AR28" s="111">
        <f>IF(AR5&lt;='Tariff Inputs'!$D17,(AQ24+AR18+AR23)*'Tariff Inputs'!$H84,0)</f>
        <v>0</v>
      </c>
    </row>
    <row r="29" spans="1:188" x14ac:dyDescent="0.2">
      <c r="C29" s="434" t="s">
        <v>233</v>
      </c>
      <c r="D29" s="12" t="str">
        <f>'Tariff Inputs'!I68</f>
        <v>KES</v>
      </c>
      <c r="E29" s="104">
        <f>IF(E5&lt;='Tariff Inputs'!$D17,(E18+E23)*E26,0)</f>
        <v>0</v>
      </c>
      <c r="F29" s="104">
        <f>IF(F5&lt;='Tariff Inputs'!$D17,(E24+F18+F23)*F26,0)</f>
        <v>0</v>
      </c>
      <c r="G29" s="104">
        <f>IF(G5&lt;='Tariff Inputs'!$D17,(F24+G18+G23)*G26,0)</f>
        <v>0</v>
      </c>
      <c r="H29" s="104">
        <f>IF(H5&lt;='Tariff Inputs'!$D17,(G24+H18+H23)*H26,0)</f>
        <v>0</v>
      </c>
      <c r="I29" s="104">
        <f>IF(I5&lt;='Tariff Inputs'!$D17,(H24+I18+I23)*I26,0)</f>
        <v>0</v>
      </c>
      <c r="J29" s="104">
        <f>IF(J5&lt;='Tariff Inputs'!$D17,(I24+J18+J23)*J26,0)</f>
        <v>0</v>
      </c>
      <c r="K29" s="104">
        <f>IF(K5&lt;='Tariff Inputs'!$D17,(J24+K18+K23)*K26,0)</f>
        <v>0</v>
      </c>
      <c r="L29" s="104">
        <f>IF(L5&lt;='Tariff Inputs'!$D17,(K24+L18+L23)*L26,0)</f>
        <v>0</v>
      </c>
      <c r="M29" s="104">
        <f>IF(M5&lt;='Tariff Inputs'!$D17,(L24+M18+M23)*M26,0)</f>
        <v>0</v>
      </c>
      <c r="N29" s="104">
        <f>IF(N5&lt;='Tariff Inputs'!$D17,(M24+N18+N23)*N26,0)</f>
        <v>0</v>
      </c>
      <c r="O29" s="104">
        <f>IF(O5&lt;='Tariff Inputs'!$D17,(N24+O18+O23)*O26,0)</f>
        <v>0</v>
      </c>
      <c r="P29" s="104">
        <f>IF(P5&lt;='Tariff Inputs'!$D17,(O24+P18+P23)*P26,0)</f>
        <v>0</v>
      </c>
      <c r="Q29" s="104">
        <f>IF(Q5&lt;='Tariff Inputs'!$D17,(P24+Q18+Q23)*Q26,0)</f>
        <v>0</v>
      </c>
      <c r="R29" s="104">
        <f>IF(R5&lt;='Tariff Inputs'!$D17,(Q24+R18+R23)*R26,0)</f>
        <v>0</v>
      </c>
      <c r="S29" s="104">
        <f>IF(S5&lt;='Tariff Inputs'!$D17,(R24+S18+S23)*S26,0)</f>
        <v>0</v>
      </c>
      <c r="T29" s="104">
        <f>IF(T5&lt;='Tariff Inputs'!$D17,(S24+T18+T23)*T26,0)</f>
        <v>0</v>
      </c>
      <c r="U29" s="104">
        <f>IF(U5&lt;='Tariff Inputs'!$D17,(T24+U18+U23)*U26,0)</f>
        <v>0</v>
      </c>
      <c r="V29" s="104">
        <f>IF(V5&lt;='Tariff Inputs'!$D17,(U24+V18+V23)*V26,0)</f>
        <v>0</v>
      </c>
      <c r="W29" s="104">
        <f>IF(W5&lt;='Tariff Inputs'!$D17,(V24+W18+W23)*W26,0)</f>
        <v>0</v>
      </c>
      <c r="X29" s="104">
        <f>IF(X5&lt;='Tariff Inputs'!$D17,(W24+X18+X23)*X26,0)</f>
        <v>0</v>
      </c>
      <c r="Y29" s="104">
        <f>IF(Y5&lt;='Tariff Inputs'!$D17,(X24+Y18+Y23)*Y26,0)</f>
        <v>0</v>
      </c>
      <c r="Z29" s="104">
        <f>IF(Z5&lt;='Tariff Inputs'!$D17,(Y24+Z18+Z23)*Z26,0)</f>
        <v>0</v>
      </c>
      <c r="AA29" s="104">
        <f>IF(AA5&lt;='Tariff Inputs'!$D17,(Z24+AA18+AA23)*AA26,0)</f>
        <v>0</v>
      </c>
      <c r="AB29" s="104">
        <f>IF(AB5&lt;='Tariff Inputs'!$D17,(AA24+AB18+AB23)*AB26,0)</f>
        <v>0</v>
      </c>
      <c r="AC29" s="104">
        <f>IF(AC5&lt;='Tariff Inputs'!$D17,(AB24+AC18+AC23)*AC26,0)</f>
        <v>0</v>
      </c>
      <c r="AD29" s="104">
        <f>IF(AD5&lt;='Tariff Inputs'!$D17,(AC24+AD18+AD23)*AD26,0)</f>
        <v>0</v>
      </c>
      <c r="AE29" s="104">
        <f>IF(AE5&lt;='Tariff Inputs'!$D17,(AD24+AE18+AE23)*AE26,0)</f>
        <v>0</v>
      </c>
      <c r="AF29" s="104">
        <f>IF(AF5&lt;='Tariff Inputs'!$D17,(AE24+AF18+AF23)*AF26,0)</f>
        <v>0</v>
      </c>
      <c r="AG29" s="104">
        <f>IF(AG5&lt;='Tariff Inputs'!$D17,(AF24+AG18+AG23)*AG26,0)</f>
        <v>0</v>
      </c>
      <c r="AH29" s="104">
        <f>IF(AH5&lt;='Tariff Inputs'!$D17,(AG24+AH18+AH23)*AH26,0)</f>
        <v>0</v>
      </c>
      <c r="AI29" s="104">
        <f>IF(AI5&lt;='Tariff Inputs'!$D17,(AH24+AI18+AI23)*AI26,0)</f>
        <v>0</v>
      </c>
      <c r="AJ29" s="104">
        <f>IF(AJ5&lt;='Tariff Inputs'!$D17,(AI24+AJ18+AJ23)*AJ26,0)</f>
        <v>0</v>
      </c>
      <c r="AK29" s="104">
        <f>IF(AK5&lt;='Tariff Inputs'!$D17,(AJ24+AK18+AK23)*AK26,0)</f>
        <v>0</v>
      </c>
      <c r="AL29" s="104">
        <f>IF(AL5&lt;='Tariff Inputs'!$D17,(AK24+AL18+AL23)*AL26,0)</f>
        <v>0</v>
      </c>
      <c r="AM29" s="104">
        <f>IF(AM5&lt;='Tariff Inputs'!$D17,(AL24+AM18+AM23)*AM26,0)</f>
        <v>0</v>
      </c>
      <c r="AN29" s="104">
        <f>IF(AN5&lt;='Tariff Inputs'!$D17,(AM24+AN18+AN23)*AN26,0)</f>
        <v>0</v>
      </c>
      <c r="AO29" s="104">
        <f>IF(AO5&lt;='Tariff Inputs'!$D17,(AN24+AO18+AO23)*AO26,0)</f>
        <v>0</v>
      </c>
      <c r="AP29" s="104">
        <f>IF(AP5&lt;='Tariff Inputs'!$D17,(AO24+AP18+AP23)*AP26,0)</f>
        <v>0</v>
      </c>
      <c r="AQ29" s="104">
        <f>IF(AQ5&lt;='Tariff Inputs'!$D17,(AP24+AQ18+AQ23)*AQ26,0)</f>
        <v>0</v>
      </c>
      <c r="AR29" s="110">
        <f>IF(AR5&lt;='Tariff Inputs'!$D17,(AQ24+AR18+AR23)*AR26,0)</f>
        <v>0</v>
      </c>
    </row>
    <row r="30" spans="1:188" x14ac:dyDescent="0.2">
      <c r="C30" s="434" t="s">
        <v>235</v>
      </c>
      <c r="D30" s="12" t="str">
        <f>'Tariff Inputs'!I68</f>
        <v>KES</v>
      </c>
      <c r="E30" s="104">
        <f>IF(E5&lt;='Tariff Inputs'!$D17,(E18+E20+E21+E23)*E26,0)</f>
        <v>0</v>
      </c>
      <c r="F30" s="104">
        <f>IF(F5&lt;='Tariff Inputs'!$D17,(E25+F18+F20+F21+F23)*F26,0)</f>
        <v>0</v>
      </c>
      <c r="G30" s="104">
        <f>IF(G5&lt;='Tariff Inputs'!$D17,(F25+G18+G20+G21+G23)*G26,0)</f>
        <v>0</v>
      </c>
      <c r="H30" s="104">
        <f>IF(H5&lt;='Tariff Inputs'!$D17,(G25+H18+H20+H21+H23)*H26,0)</f>
        <v>0</v>
      </c>
      <c r="I30" s="104">
        <f>IF(I5&lt;='Tariff Inputs'!$D17,(H25+I18+I20+I21+I23)*I26,0)</f>
        <v>0</v>
      </c>
      <c r="J30" s="104">
        <f>IF(J5&lt;='Tariff Inputs'!$D17,(I25+J18+J20+J21+J23)*J26,0)</f>
        <v>0</v>
      </c>
      <c r="K30" s="104">
        <f>IF(K5&lt;='Tariff Inputs'!$D17,(J25+K18+K20+K21+K23)*K26,0)</f>
        <v>0</v>
      </c>
      <c r="L30" s="104">
        <f>IF(L5&lt;='Tariff Inputs'!$D17,(K25+L18+L20+L21+L23)*L26,0)</f>
        <v>0</v>
      </c>
      <c r="M30" s="104">
        <f>IF(M5&lt;='Tariff Inputs'!$D17,(L25+M18+M20+M21+M23)*M26,0)</f>
        <v>0</v>
      </c>
      <c r="N30" s="104">
        <f>IF(N5&lt;='Tariff Inputs'!$D17,(M25+N18+N20+N21+N23)*N26,0)</f>
        <v>0</v>
      </c>
      <c r="O30" s="104">
        <f>IF(O5&lt;='Tariff Inputs'!$D17,(N25+O18+O20+O21+O23)*O26,0)</f>
        <v>0</v>
      </c>
      <c r="P30" s="104">
        <f>IF(P5&lt;='Tariff Inputs'!$D17,(O25+P18+P20+P21+P23)*P26,0)</f>
        <v>0</v>
      </c>
      <c r="Q30" s="104">
        <f>IF(Q5&lt;='Tariff Inputs'!$D17,(P25+Q18+Q20+Q21+Q23)*Q26,0)</f>
        <v>0</v>
      </c>
      <c r="R30" s="104">
        <f>IF(R5&lt;='Tariff Inputs'!$D17,(Q25+R18+R20+R21+R23)*R26,0)</f>
        <v>0</v>
      </c>
      <c r="S30" s="104">
        <f>IF(S5&lt;='Tariff Inputs'!$D17,(R25+S18+S20+S21+S23)*S26,0)</f>
        <v>0</v>
      </c>
      <c r="T30" s="104">
        <f>IF(T5&lt;='Tariff Inputs'!$D17,(S25+T18+T20+T21+T23)*T26,0)</f>
        <v>0</v>
      </c>
      <c r="U30" s="104">
        <f>IF(U5&lt;='Tariff Inputs'!$D17,(T25+U18+U20+U21+U23)*U26,0)</f>
        <v>0</v>
      </c>
      <c r="V30" s="104">
        <f>IF(V5&lt;='Tariff Inputs'!$D17,(U25+V18+V20+V21+V23)*V26,0)</f>
        <v>0</v>
      </c>
      <c r="W30" s="104">
        <f>IF(W5&lt;='Tariff Inputs'!$D17,(V25+W18+W20+W21+W23)*W26,0)</f>
        <v>0</v>
      </c>
      <c r="X30" s="104">
        <f>IF(X5&lt;='Tariff Inputs'!$D17,(W25+X18+X20+X21+X23)*X26,0)</f>
        <v>0</v>
      </c>
      <c r="Y30" s="104">
        <f>IF(Y5&lt;='Tariff Inputs'!$D17,(X25+Y18+Y20+Y21+Y23)*Y26,0)</f>
        <v>0</v>
      </c>
      <c r="Z30" s="104">
        <f>IF(Z5&lt;='Tariff Inputs'!$D17,(Y25+Z18+Z20+Z21+Z23)*Z26,0)</f>
        <v>0</v>
      </c>
      <c r="AA30" s="104">
        <f>IF(AA5&lt;='Tariff Inputs'!$D17,(Z25+AA18+AA20+AA21+AA23)*AA26,0)</f>
        <v>0</v>
      </c>
      <c r="AB30" s="104">
        <f>IF(AB5&lt;='Tariff Inputs'!$D17,(AA25+AB18+AB20+AB21+AB23)*AB26,0)</f>
        <v>0</v>
      </c>
      <c r="AC30" s="104">
        <f>IF(AC5&lt;='Tariff Inputs'!$D17,(AB25+AC18+AC20+AC21+AC23)*AC26,0)</f>
        <v>0</v>
      </c>
      <c r="AD30" s="104">
        <f>IF(AD5&lt;='Tariff Inputs'!$D17,(AC25+AD18+AD20+AD21+AD23)*AD26,0)</f>
        <v>0</v>
      </c>
      <c r="AE30" s="104">
        <f>IF(AE5&lt;='Tariff Inputs'!$D17,(AD25+AE18+AE20+AE21+AE23)*AE26,0)</f>
        <v>0</v>
      </c>
      <c r="AF30" s="104">
        <f>IF(AF5&lt;='Tariff Inputs'!$D17,(AE25+AF18+AF20+AF21+AF23)*AF26,0)</f>
        <v>0</v>
      </c>
      <c r="AG30" s="104">
        <f>IF(AG5&lt;='Tariff Inputs'!$D17,(AF25+AG18+AG20+AG21+AG23)*AG26,0)</f>
        <v>0</v>
      </c>
      <c r="AH30" s="104">
        <f>IF(AH5&lt;='Tariff Inputs'!$D17,(AG25+AH18+AH20+AH21+AH23)*AH26,0)</f>
        <v>0</v>
      </c>
      <c r="AI30" s="104">
        <f>IF(AI5&lt;='Tariff Inputs'!$D17,(AH25+AI18+AI20+AI21+AI23)*AI26,0)</f>
        <v>0</v>
      </c>
      <c r="AJ30" s="104">
        <f>IF(AJ5&lt;='Tariff Inputs'!$D17,(AI25+AJ18+AJ20+AJ21+AJ23)*AJ26,0)</f>
        <v>0</v>
      </c>
      <c r="AK30" s="104">
        <f>IF(AK5&lt;='Tariff Inputs'!$D17,(AJ25+AK18+AK20+AK21+AK23)*AK26,0)</f>
        <v>0</v>
      </c>
      <c r="AL30" s="104">
        <f>IF(AL5&lt;='Tariff Inputs'!$D17,(AK25+AL18+AL20+AL21+AL23)*AL26,0)</f>
        <v>0</v>
      </c>
      <c r="AM30" s="104">
        <f>IF(AM5&lt;='Tariff Inputs'!$D17,(AL25+AM18+AM20+AM21+AM23)*AM26,0)</f>
        <v>0</v>
      </c>
      <c r="AN30" s="104">
        <f>IF(AN5&lt;='Tariff Inputs'!$D17,(AM25+AN18+AN20+AN21+AN23)*AN26,0)</f>
        <v>0</v>
      </c>
      <c r="AO30" s="104">
        <f>IF(AO5&lt;='Tariff Inputs'!$D17,(AN25+AO18+AO20+AO21+AO23)*AO26,0)</f>
        <v>0</v>
      </c>
      <c r="AP30" s="104">
        <f>IF(AP5&lt;='Tariff Inputs'!$D17,(AO25+AP18+AP20+AP21+AP23)*AP26,0)</f>
        <v>0</v>
      </c>
      <c r="AQ30" s="104">
        <f>IF(AQ5&lt;='Tariff Inputs'!$D17,(AP25+AQ18+AQ20+AQ21+AQ23)*AQ26,0)</f>
        <v>0</v>
      </c>
      <c r="AR30" s="22">
        <f>IF(AR5&lt;='Tariff Inputs'!$D17,(AQ25+AR18+AR20+AR21+AR23)*AR26,0)</f>
        <v>0</v>
      </c>
    </row>
    <row r="31" spans="1:188" x14ac:dyDescent="0.2">
      <c r="C31" s="15" t="s">
        <v>234</v>
      </c>
      <c r="D31" s="283" t="str">
        <f>'Tariff Inputs'!I68</f>
        <v>KES</v>
      </c>
      <c r="E31" s="17">
        <f>(E28/(1-'Tariff Inputs'!$G84))*'Tariff Inputs'!$G84</f>
        <v>0</v>
      </c>
      <c r="F31" s="17">
        <f>(F28/(1-'Tariff Inputs'!$G84))*'Tariff Inputs'!$G84</f>
        <v>0</v>
      </c>
      <c r="G31" s="17">
        <f>(G28/(1-'Tariff Inputs'!$G84))*'Tariff Inputs'!$G84</f>
        <v>0</v>
      </c>
      <c r="H31" s="17">
        <f>(H28/(1-'Tariff Inputs'!$G84))*'Tariff Inputs'!$G84</f>
        <v>0</v>
      </c>
      <c r="I31" s="17">
        <f>(I28/(1-'Tariff Inputs'!$G84))*'Tariff Inputs'!$G84</f>
        <v>0</v>
      </c>
      <c r="J31" s="17">
        <f>(J28/(1-'Tariff Inputs'!$G84))*'Tariff Inputs'!$G84</f>
        <v>0</v>
      </c>
      <c r="K31" s="17">
        <f>(K28/(1-'Tariff Inputs'!$G84))*'Tariff Inputs'!$G84</f>
        <v>0</v>
      </c>
      <c r="L31" s="17">
        <f>(L28/(1-'Tariff Inputs'!$G84))*'Tariff Inputs'!$G84</f>
        <v>0</v>
      </c>
      <c r="M31" s="17">
        <f>(M28/(1-'Tariff Inputs'!$G84))*'Tariff Inputs'!$G84</f>
        <v>0</v>
      </c>
      <c r="N31" s="17">
        <f>(N28/(1-'Tariff Inputs'!$G84))*'Tariff Inputs'!$G84</f>
        <v>0</v>
      </c>
      <c r="O31" s="17">
        <f>(O28/(1-'Tariff Inputs'!$G84))*'Tariff Inputs'!$G84</f>
        <v>0</v>
      </c>
      <c r="P31" s="17">
        <f>(P28/(1-'Tariff Inputs'!$G84))*'Tariff Inputs'!$G84</f>
        <v>0</v>
      </c>
      <c r="Q31" s="17">
        <f>(Q28/(1-'Tariff Inputs'!$G84))*'Tariff Inputs'!$G84</f>
        <v>0</v>
      </c>
      <c r="R31" s="17">
        <f>(R28/(1-'Tariff Inputs'!$G84))*'Tariff Inputs'!$G84</f>
        <v>0</v>
      </c>
      <c r="S31" s="17">
        <f>(S28/(1-'Tariff Inputs'!$G84))*'Tariff Inputs'!$G84</f>
        <v>0</v>
      </c>
      <c r="T31" s="17">
        <f>(T28/(1-'Tariff Inputs'!$G84))*'Tariff Inputs'!$G84</f>
        <v>0</v>
      </c>
      <c r="U31" s="17">
        <f>(U28/(1-'Tariff Inputs'!$G84))*'Tariff Inputs'!$G84</f>
        <v>0</v>
      </c>
      <c r="V31" s="17">
        <f>(V28/(1-'Tariff Inputs'!$G84))*'Tariff Inputs'!$G84</f>
        <v>0</v>
      </c>
      <c r="W31" s="17">
        <f>(W28/(1-'Tariff Inputs'!$G84))*'Tariff Inputs'!$G84</f>
        <v>0</v>
      </c>
      <c r="X31" s="17">
        <f>(X28/(1-'Tariff Inputs'!$G84))*'Tariff Inputs'!$G84</f>
        <v>0</v>
      </c>
      <c r="Y31" s="17">
        <f>(Y28/(1-'Tariff Inputs'!$G84))*'Tariff Inputs'!$G84</f>
        <v>0</v>
      </c>
      <c r="Z31" s="17">
        <f>(Z28/(1-'Tariff Inputs'!$G84))*'Tariff Inputs'!$G84</f>
        <v>0</v>
      </c>
      <c r="AA31" s="17">
        <f>(AA28/(1-'Tariff Inputs'!$G84))*'Tariff Inputs'!$G84</f>
        <v>0</v>
      </c>
      <c r="AB31" s="17">
        <f>(AB28/(1-'Tariff Inputs'!$G84))*'Tariff Inputs'!$G84</f>
        <v>0</v>
      </c>
      <c r="AC31" s="17">
        <f>(AC28/(1-'Tariff Inputs'!$G84))*'Tariff Inputs'!$G84</f>
        <v>0</v>
      </c>
      <c r="AD31" s="17">
        <f>(AD28/(1-'Tariff Inputs'!$G84))*'Tariff Inputs'!$G84</f>
        <v>0</v>
      </c>
      <c r="AE31" s="17">
        <f>(AE28/(1-'Tariff Inputs'!$G84))*'Tariff Inputs'!$G84</f>
        <v>0</v>
      </c>
      <c r="AF31" s="17">
        <f>(AF28/(1-'Tariff Inputs'!$G84))*'Tariff Inputs'!$G84</f>
        <v>0</v>
      </c>
      <c r="AG31" s="17">
        <f>(AG28/(1-'Tariff Inputs'!$G84))*'Tariff Inputs'!$G84</f>
        <v>0</v>
      </c>
      <c r="AH31" s="17">
        <f>(AH28/(1-'Tariff Inputs'!$G84))*'Tariff Inputs'!$G84</f>
        <v>0</v>
      </c>
      <c r="AI31" s="17">
        <f>(AI28/(1-'Tariff Inputs'!$G84))*'Tariff Inputs'!$G84</f>
        <v>0</v>
      </c>
      <c r="AJ31" s="17">
        <f>(AJ28/(1-'Tariff Inputs'!$G84))*'Tariff Inputs'!$G84</f>
        <v>0</v>
      </c>
      <c r="AK31" s="17">
        <f>(AK28/(1-'Tariff Inputs'!$G84))*'Tariff Inputs'!$G84</f>
        <v>0</v>
      </c>
      <c r="AL31" s="17">
        <f>(AL28/(1-'Tariff Inputs'!$G84))*'Tariff Inputs'!$G84</f>
        <v>0</v>
      </c>
      <c r="AM31" s="17">
        <f>(AM28/(1-'Tariff Inputs'!$G84))*'Tariff Inputs'!$G84</f>
        <v>0</v>
      </c>
      <c r="AN31" s="17">
        <f>(AN28/(1-'Tariff Inputs'!$G84))*'Tariff Inputs'!$G84</f>
        <v>0</v>
      </c>
      <c r="AO31" s="17">
        <f>(AO28/(1-'Tariff Inputs'!$G84))*'Tariff Inputs'!$G84</f>
        <v>0</v>
      </c>
      <c r="AP31" s="17">
        <f>(AP28/(1-'Tariff Inputs'!$G84))*'Tariff Inputs'!$G84</f>
        <v>0</v>
      </c>
      <c r="AQ31" s="17">
        <f>(AQ28/(1-'Tariff Inputs'!$G84))*'Tariff Inputs'!$G84</f>
        <v>0</v>
      </c>
      <c r="AR31" s="18">
        <f>(AR28/(1-'Tariff Inputs'!$G84))*'Tariff Inputs'!$G84</f>
        <v>0</v>
      </c>
    </row>
    <row r="32" spans="1:188" x14ac:dyDescent="0.2">
      <c r="C32" s="19" t="s">
        <v>236</v>
      </c>
      <c r="D32" s="284" t="str">
        <f>'Tariff Inputs'!I68</f>
        <v>KES</v>
      </c>
      <c r="E32" s="21">
        <f>(E30-E27)/(1-'Tariff Inputs'!$G84)-(E30-E27)</f>
        <v>0</v>
      </c>
      <c r="F32" s="21">
        <f>(F30-F27)/(1-'Tariff Inputs'!$G84)-(F30-F27)</f>
        <v>0</v>
      </c>
      <c r="G32" s="21">
        <f>(G30-G27)/(1-'Tariff Inputs'!$G84)-(G30-G27)</f>
        <v>0</v>
      </c>
      <c r="H32" s="21">
        <f>(H30-H27)/(1-'Tariff Inputs'!$G84)-(H30-H27)</f>
        <v>0</v>
      </c>
      <c r="I32" s="21">
        <f>(I30-I27)/(1-'Tariff Inputs'!$G84)-(I30-I27)</f>
        <v>0</v>
      </c>
      <c r="J32" s="21">
        <f>(J30-J27)/(1-'Tariff Inputs'!$G84)-(J30-J27)</f>
        <v>0</v>
      </c>
      <c r="K32" s="21">
        <f>(K30-K27)/(1-'Tariff Inputs'!$G84)-(K30-K27)</f>
        <v>0</v>
      </c>
      <c r="L32" s="21">
        <f>(L30-L27)/(1-'Tariff Inputs'!$G84)-(L30-L27)</f>
        <v>0</v>
      </c>
      <c r="M32" s="21">
        <f>(M30-M27)/(1-'Tariff Inputs'!$G84)-(M30-M27)</f>
        <v>0</v>
      </c>
      <c r="N32" s="21">
        <f>(N30-N27)/(1-'Tariff Inputs'!$G84)-(N30-N27)</f>
        <v>0</v>
      </c>
      <c r="O32" s="21">
        <f>(O30-O27)/(1-'Tariff Inputs'!$G84)-(O30-O27)</f>
        <v>0</v>
      </c>
      <c r="P32" s="21">
        <f>(P30-P27)/(1-'Tariff Inputs'!$G84)-(P30-P27)</f>
        <v>0</v>
      </c>
      <c r="Q32" s="21">
        <f>(Q30-Q27)/(1-'Tariff Inputs'!$G84)-(Q30-Q27)</f>
        <v>0</v>
      </c>
      <c r="R32" s="21">
        <f>(R30-R27)/(1-'Tariff Inputs'!$G84)-(R30-R27)</f>
        <v>0</v>
      </c>
      <c r="S32" s="21">
        <f>(S30-S27)/(1-'Tariff Inputs'!$G84)-(S30-S27)</f>
        <v>0</v>
      </c>
      <c r="T32" s="21">
        <f>(T30-T27)/(1-'Tariff Inputs'!$G84)-(T30-T27)</f>
        <v>0</v>
      </c>
      <c r="U32" s="21">
        <f>(U30-U27)/(1-'Tariff Inputs'!$G84)-(U30-U27)</f>
        <v>0</v>
      </c>
      <c r="V32" s="21">
        <f>(V30-V27)/(1-'Tariff Inputs'!$G84)-(V30-V27)</f>
        <v>0</v>
      </c>
      <c r="W32" s="21">
        <f>(W30-W27)/(1-'Tariff Inputs'!$G84)-(W30-W27)</f>
        <v>0</v>
      </c>
      <c r="X32" s="21">
        <f>(X30-X27)/(1-'Tariff Inputs'!$G84)-(X30-X27)</f>
        <v>0</v>
      </c>
      <c r="Y32" s="21">
        <f>(Y30-Y27)/(1-'Tariff Inputs'!$G84)-(Y30-Y27)</f>
        <v>0</v>
      </c>
      <c r="Z32" s="21">
        <f>(Z30-Z27)/(1-'Tariff Inputs'!$G84)-(Z30-Z27)</f>
        <v>0</v>
      </c>
      <c r="AA32" s="21">
        <f>(AA30-AA27)/(1-'Tariff Inputs'!$G84)-(AA30-AA27)</f>
        <v>0</v>
      </c>
      <c r="AB32" s="21">
        <f>(AB30-AB27)/(1-'Tariff Inputs'!$G84)-(AB30-AB27)</f>
        <v>0</v>
      </c>
      <c r="AC32" s="21">
        <f>(AC30-AC27)/(1-'Tariff Inputs'!$G84)-(AC30-AC27)</f>
        <v>0</v>
      </c>
      <c r="AD32" s="21">
        <f>(AD30-AD27)/(1-'Tariff Inputs'!$G84)-(AD30-AD27)</f>
        <v>0</v>
      </c>
      <c r="AE32" s="21">
        <f>(AE30-AE27)/(1-'Tariff Inputs'!$G84)-(AE30-AE27)</f>
        <v>0</v>
      </c>
      <c r="AF32" s="21">
        <f>(AF30-AF27)/(1-'Tariff Inputs'!$G84)-(AF30-AF27)</f>
        <v>0</v>
      </c>
      <c r="AG32" s="21">
        <f>(AG30-AG27)/(1-'Tariff Inputs'!$G84)-(AG30-AG27)</f>
        <v>0</v>
      </c>
      <c r="AH32" s="21">
        <f>(AH30-AH27)/(1-'Tariff Inputs'!$G84)-(AH30-AH27)</f>
        <v>0</v>
      </c>
      <c r="AI32" s="21">
        <f>(AI30-AI27)/(1-'Tariff Inputs'!$G84)-(AI30-AI27)</f>
        <v>0</v>
      </c>
      <c r="AJ32" s="21">
        <f>(AJ30-AJ27)/(1-'Tariff Inputs'!$G84)-(AJ30-AJ27)</f>
        <v>0</v>
      </c>
      <c r="AK32" s="21">
        <f>(AK30-AK27)/(1-'Tariff Inputs'!$G84)-(AK30-AK27)</f>
        <v>0</v>
      </c>
      <c r="AL32" s="21">
        <f>(AL30-AL27)/(1-'Tariff Inputs'!$G84)-(AL30-AL27)</f>
        <v>0</v>
      </c>
      <c r="AM32" s="21">
        <f>(AM30-AM27)/(1-'Tariff Inputs'!$G84)-(AM30-AM27)</f>
        <v>0</v>
      </c>
      <c r="AN32" s="21">
        <f>(AN30-AN27)/(1-'Tariff Inputs'!$G84)-(AN30-AN27)</f>
        <v>0</v>
      </c>
      <c r="AO32" s="21">
        <f>(AO30-AO27)/(1-'Tariff Inputs'!$G84)-(AO30-AO27)</f>
        <v>0</v>
      </c>
      <c r="AP32" s="21">
        <f>(AP30-AP27)/(1-'Tariff Inputs'!$G84)-(AP30-AP27)</f>
        <v>0</v>
      </c>
      <c r="AQ32" s="21">
        <f>(AQ30-AQ27)/(1-'Tariff Inputs'!$G84)-(AQ30-AQ27)</f>
        <v>0</v>
      </c>
      <c r="AR32" s="22">
        <f>(AR30-AR27)/(1-'Tariff Inputs'!$G84)-(AR30-AR27)</f>
        <v>0</v>
      </c>
    </row>
    <row r="33" spans="1:188" s="23" customFormat="1" ht="13.5" thickBot="1" x14ac:dyDescent="0.25">
      <c r="A33" s="372"/>
      <c r="C33" s="446" t="s">
        <v>223</v>
      </c>
      <c r="D33" s="396" t="str">
        <f>'Tariff Inputs'!I68</f>
        <v>KES</v>
      </c>
      <c r="E33" s="447">
        <f>E14+E15+E16+E29+E31</f>
        <v>0</v>
      </c>
      <c r="F33" s="447">
        <f t="shared" ref="F33:AR33" si="4">F14+F15+F16+F29+F31</f>
        <v>0</v>
      </c>
      <c r="G33" s="447">
        <f t="shared" si="4"/>
        <v>0</v>
      </c>
      <c r="H33" s="447">
        <f t="shared" si="4"/>
        <v>0</v>
      </c>
      <c r="I33" s="447">
        <f t="shared" si="4"/>
        <v>0</v>
      </c>
      <c r="J33" s="447">
        <f t="shared" si="4"/>
        <v>0</v>
      </c>
      <c r="K33" s="447">
        <f t="shared" si="4"/>
        <v>0</v>
      </c>
      <c r="L33" s="447">
        <f t="shared" si="4"/>
        <v>0</v>
      </c>
      <c r="M33" s="447">
        <f t="shared" si="4"/>
        <v>0</v>
      </c>
      <c r="N33" s="447">
        <f t="shared" si="4"/>
        <v>0</v>
      </c>
      <c r="O33" s="447">
        <f t="shared" si="4"/>
        <v>0</v>
      </c>
      <c r="P33" s="447">
        <f t="shared" si="4"/>
        <v>0</v>
      </c>
      <c r="Q33" s="447">
        <f t="shared" si="4"/>
        <v>0</v>
      </c>
      <c r="R33" s="447">
        <f t="shared" si="4"/>
        <v>0</v>
      </c>
      <c r="S33" s="447">
        <f t="shared" si="4"/>
        <v>0</v>
      </c>
      <c r="T33" s="447">
        <f t="shared" si="4"/>
        <v>0</v>
      </c>
      <c r="U33" s="447">
        <f t="shared" si="4"/>
        <v>0</v>
      </c>
      <c r="V33" s="447">
        <f t="shared" si="4"/>
        <v>0</v>
      </c>
      <c r="W33" s="447">
        <f t="shared" si="4"/>
        <v>0</v>
      </c>
      <c r="X33" s="447">
        <f t="shared" si="4"/>
        <v>0</v>
      </c>
      <c r="Y33" s="447">
        <f t="shared" si="4"/>
        <v>0</v>
      </c>
      <c r="Z33" s="447">
        <f t="shared" si="4"/>
        <v>0</v>
      </c>
      <c r="AA33" s="447">
        <f t="shared" si="4"/>
        <v>0</v>
      </c>
      <c r="AB33" s="447">
        <f t="shared" si="4"/>
        <v>0</v>
      </c>
      <c r="AC33" s="447">
        <f t="shared" si="4"/>
        <v>0</v>
      </c>
      <c r="AD33" s="447">
        <f t="shared" si="4"/>
        <v>0</v>
      </c>
      <c r="AE33" s="447">
        <f t="shared" si="4"/>
        <v>0</v>
      </c>
      <c r="AF33" s="447">
        <f t="shared" si="4"/>
        <v>0</v>
      </c>
      <c r="AG33" s="447">
        <f t="shared" si="4"/>
        <v>0</v>
      </c>
      <c r="AH33" s="447">
        <f t="shared" si="4"/>
        <v>0</v>
      </c>
      <c r="AI33" s="447">
        <f t="shared" si="4"/>
        <v>0</v>
      </c>
      <c r="AJ33" s="447">
        <f t="shared" si="4"/>
        <v>0</v>
      </c>
      <c r="AK33" s="447">
        <f t="shared" si="4"/>
        <v>0</v>
      </c>
      <c r="AL33" s="447">
        <f t="shared" si="4"/>
        <v>0</v>
      </c>
      <c r="AM33" s="447">
        <f t="shared" si="4"/>
        <v>0</v>
      </c>
      <c r="AN33" s="447">
        <f t="shared" si="4"/>
        <v>0</v>
      </c>
      <c r="AO33" s="447">
        <f t="shared" si="4"/>
        <v>0</v>
      </c>
      <c r="AP33" s="447">
        <f t="shared" si="4"/>
        <v>0</v>
      </c>
      <c r="AQ33" s="447">
        <f t="shared" si="4"/>
        <v>0</v>
      </c>
      <c r="AR33" s="448">
        <f t="shared" si="4"/>
        <v>0</v>
      </c>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72"/>
      <c r="CB33" s="372"/>
      <c r="CC33" s="372"/>
      <c r="CD33" s="372"/>
      <c r="CE33" s="372"/>
      <c r="CF33" s="372"/>
      <c r="CG33" s="372"/>
      <c r="CH33" s="372"/>
      <c r="CI33" s="372"/>
      <c r="CJ33" s="372"/>
      <c r="CK33" s="372"/>
      <c r="CL33" s="372"/>
      <c r="CM33" s="372"/>
      <c r="CN33" s="372"/>
      <c r="CO33" s="372"/>
      <c r="CP33" s="372"/>
      <c r="CQ33" s="372"/>
      <c r="CR33" s="372"/>
      <c r="CS33" s="372"/>
      <c r="CT33" s="372"/>
      <c r="CU33" s="372"/>
      <c r="CV33" s="372"/>
      <c r="CW33" s="372"/>
      <c r="CX33" s="372"/>
      <c r="CY33" s="372"/>
      <c r="CZ33" s="372"/>
      <c r="DA33" s="372"/>
      <c r="DB33" s="372"/>
      <c r="DC33" s="372"/>
      <c r="DD33" s="372"/>
      <c r="DE33" s="372"/>
      <c r="DF33" s="372"/>
      <c r="DG33" s="372"/>
      <c r="DH33" s="372"/>
      <c r="DI33" s="372"/>
      <c r="DJ33" s="372"/>
      <c r="DK33" s="372"/>
      <c r="DL33" s="372"/>
      <c r="DM33" s="372"/>
      <c r="DN33" s="372"/>
      <c r="DO33" s="372"/>
      <c r="DP33" s="372"/>
      <c r="DQ33" s="372"/>
      <c r="DR33" s="372"/>
      <c r="DS33" s="372"/>
      <c r="DT33" s="372"/>
      <c r="DU33" s="372"/>
      <c r="DV33" s="372"/>
      <c r="DW33" s="372"/>
      <c r="DX33" s="372"/>
      <c r="DY33" s="372"/>
      <c r="DZ33" s="372"/>
      <c r="EA33" s="372"/>
      <c r="EB33" s="372"/>
      <c r="EC33" s="372"/>
      <c r="ED33" s="372"/>
      <c r="EE33" s="372"/>
      <c r="EF33" s="372"/>
      <c r="EG33" s="372"/>
      <c r="EH33" s="372"/>
      <c r="EI33" s="372"/>
      <c r="EJ33" s="372"/>
      <c r="EK33" s="372"/>
      <c r="EL33" s="372"/>
      <c r="EM33" s="372"/>
      <c r="EN33" s="372"/>
      <c r="EO33" s="372"/>
      <c r="EP33" s="372"/>
      <c r="EQ33" s="372"/>
      <c r="ER33" s="372"/>
      <c r="ES33" s="372"/>
      <c r="ET33" s="372"/>
      <c r="EU33" s="372"/>
      <c r="EV33" s="372"/>
      <c r="EW33" s="372"/>
      <c r="EX33" s="372"/>
      <c r="EY33" s="372"/>
      <c r="EZ33" s="372"/>
      <c r="FA33" s="372"/>
      <c r="FB33" s="372"/>
      <c r="FC33" s="372"/>
      <c r="FD33" s="372"/>
      <c r="FE33" s="372"/>
      <c r="FF33" s="372"/>
      <c r="FG33" s="372"/>
      <c r="FH33" s="372"/>
      <c r="FI33" s="372"/>
      <c r="FJ33" s="372"/>
      <c r="FK33" s="372"/>
      <c r="FL33" s="372"/>
      <c r="FM33" s="372"/>
      <c r="FN33" s="372"/>
      <c r="FO33" s="372"/>
      <c r="FP33" s="372"/>
      <c r="FQ33" s="372"/>
      <c r="FR33" s="372"/>
      <c r="FS33" s="372"/>
      <c r="FT33" s="372"/>
      <c r="FU33" s="372"/>
      <c r="FV33" s="372"/>
      <c r="FW33" s="372"/>
      <c r="FX33" s="372"/>
      <c r="FY33" s="372"/>
      <c r="FZ33" s="372"/>
      <c r="GA33" s="372"/>
      <c r="GB33" s="372"/>
      <c r="GC33" s="372"/>
      <c r="GD33" s="372"/>
      <c r="GE33" s="372"/>
      <c r="GF33" s="372"/>
    </row>
    <row r="34" spans="1:188" s="23" customFormat="1" ht="14.25" thickTop="1" thickBot="1" x14ac:dyDescent="0.25">
      <c r="A34" s="372"/>
      <c r="C34" s="449" t="s">
        <v>224</v>
      </c>
      <c r="D34" s="4" t="str">
        <f>'Tariff Inputs'!I68</f>
        <v>KES</v>
      </c>
      <c r="E34" s="5">
        <f t="shared" ref="E34:AR34" si="5">E14+E15+E16+E17+E30+E32</f>
        <v>0</v>
      </c>
      <c r="F34" s="5">
        <f t="shared" si="5"/>
        <v>0</v>
      </c>
      <c r="G34" s="5">
        <f t="shared" si="5"/>
        <v>0</v>
      </c>
      <c r="H34" s="5">
        <f t="shared" si="5"/>
        <v>0</v>
      </c>
      <c r="I34" s="5">
        <f t="shared" si="5"/>
        <v>0</v>
      </c>
      <c r="J34" s="5">
        <f t="shared" si="5"/>
        <v>0</v>
      </c>
      <c r="K34" s="5">
        <f t="shared" si="5"/>
        <v>0</v>
      </c>
      <c r="L34" s="5">
        <f t="shared" si="5"/>
        <v>0</v>
      </c>
      <c r="M34" s="5">
        <f t="shared" si="5"/>
        <v>0</v>
      </c>
      <c r="N34" s="5">
        <f t="shared" si="5"/>
        <v>0</v>
      </c>
      <c r="O34" s="5">
        <f t="shared" si="5"/>
        <v>0</v>
      </c>
      <c r="P34" s="5">
        <f t="shared" si="5"/>
        <v>0</v>
      </c>
      <c r="Q34" s="5">
        <f t="shared" si="5"/>
        <v>0</v>
      </c>
      <c r="R34" s="5">
        <f t="shared" si="5"/>
        <v>0</v>
      </c>
      <c r="S34" s="5">
        <f t="shared" si="5"/>
        <v>0</v>
      </c>
      <c r="T34" s="5">
        <f t="shared" si="5"/>
        <v>0</v>
      </c>
      <c r="U34" s="5">
        <f t="shared" si="5"/>
        <v>0</v>
      </c>
      <c r="V34" s="5">
        <f t="shared" si="5"/>
        <v>0</v>
      </c>
      <c r="W34" s="5">
        <f t="shared" si="5"/>
        <v>0</v>
      </c>
      <c r="X34" s="5">
        <f t="shared" si="5"/>
        <v>0</v>
      </c>
      <c r="Y34" s="5">
        <f t="shared" si="5"/>
        <v>0</v>
      </c>
      <c r="Z34" s="5">
        <f t="shared" si="5"/>
        <v>0</v>
      </c>
      <c r="AA34" s="5">
        <f t="shared" si="5"/>
        <v>0</v>
      </c>
      <c r="AB34" s="5">
        <f t="shared" si="5"/>
        <v>0</v>
      </c>
      <c r="AC34" s="5">
        <f t="shared" si="5"/>
        <v>0</v>
      </c>
      <c r="AD34" s="5">
        <f t="shared" si="5"/>
        <v>0</v>
      </c>
      <c r="AE34" s="5">
        <f t="shared" si="5"/>
        <v>0</v>
      </c>
      <c r="AF34" s="5">
        <f t="shared" si="5"/>
        <v>0</v>
      </c>
      <c r="AG34" s="5">
        <f t="shared" si="5"/>
        <v>0</v>
      </c>
      <c r="AH34" s="5">
        <f t="shared" si="5"/>
        <v>0</v>
      </c>
      <c r="AI34" s="5">
        <f t="shared" si="5"/>
        <v>0</v>
      </c>
      <c r="AJ34" s="5">
        <f t="shared" si="5"/>
        <v>0</v>
      </c>
      <c r="AK34" s="5">
        <f t="shared" si="5"/>
        <v>0</v>
      </c>
      <c r="AL34" s="5">
        <f t="shared" si="5"/>
        <v>0</v>
      </c>
      <c r="AM34" s="5">
        <f t="shared" si="5"/>
        <v>0</v>
      </c>
      <c r="AN34" s="5">
        <f t="shared" si="5"/>
        <v>0</v>
      </c>
      <c r="AO34" s="5">
        <f t="shared" si="5"/>
        <v>0</v>
      </c>
      <c r="AP34" s="5">
        <f t="shared" si="5"/>
        <v>0</v>
      </c>
      <c r="AQ34" s="5">
        <f t="shared" si="5"/>
        <v>0</v>
      </c>
      <c r="AR34" s="269">
        <f t="shared" si="5"/>
        <v>0</v>
      </c>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372"/>
      <c r="BY34" s="372"/>
      <c r="BZ34" s="372"/>
      <c r="CA34" s="372"/>
      <c r="CB34" s="372"/>
      <c r="CC34" s="372"/>
      <c r="CD34" s="372"/>
      <c r="CE34" s="372"/>
      <c r="CF34" s="372"/>
      <c r="CG34" s="372"/>
      <c r="CH34" s="372"/>
      <c r="CI34" s="372"/>
      <c r="CJ34" s="372"/>
      <c r="CK34" s="372"/>
      <c r="CL34" s="372"/>
      <c r="CM34" s="372"/>
      <c r="CN34" s="372"/>
      <c r="CO34" s="372"/>
      <c r="CP34" s="372"/>
      <c r="CQ34" s="372"/>
      <c r="CR34" s="372"/>
      <c r="CS34" s="372"/>
      <c r="CT34" s="372"/>
      <c r="CU34" s="372"/>
      <c r="CV34" s="372"/>
      <c r="CW34" s="372"/>
      <c r="CX34" s="372"/>
      <c r="CY34" s="372"/>
      <c r="CZ34" s="372"/>
      <c r="DA34" s="372"/>
      <c r="DB34" s="372"/>
      <c r="DC34" s="372"/>
      <c r="DD34" s="372"/>
      <c r="DE34" s="372"/>
      <c r="DF34" s="372"/>
      <c r="DG34" s="372"/>
      <c r="DH34" s="372"/>
      <c r="DI34" s="372"/>
      <c r="DJ34" s="372"/>
      <c r="DK34" s="372"/>
      <c r="DL34" s="372"/>
      <c r="DM34" s="372"/>
      <c r="DN34" s="372"/>
      <c r="DO34" s="372"/>
      <c r="DP34" s="372"/>
      <c r="DQ34" s="372"/>
      <c r="DR34" s="372"/>
      <c r="DS34" s="372"/>
      <c r="DT34" s="372"/>
      <c r="DU34" s="372"/>
      <c r="DV34" s="372"/>
      <c r="DW34" s="372"/>
      <c r="DX34" s="372"/>
      <c r="DY34" s="372"/>
      <c r="DZ34" s="372"/>
      <c r="EA34" s="372"/>
      <c r="EB34" s="372"/>
      <c r="EC34" s="372"/>
      <c r="ED34" s="372"/>
      <c r="EE34" s="372"/>
      <c r="EF34" s="372"/>
      <c r="EG34" s="372"/>
      <c r="EH34" s="372"/>
      <c r="EI34" s="372"/>
      <c r="EJ34" s="372"/>
      <c r="EK34" s="372"/>
      <c r="EL34" s="372"/>
      <c r="EM34" s="372"/>
      <c r="EN34" s="372"/>
      <c r="EO34" s="372"/>
      <c r="EP34" s="372"/>
      <c r="EQ34" s="372"/>
      <c r="ER34" s="372"/>
      <c r="ES34" s="372"/>
      <c r="ET34" s="372"/>
      <c r="EU34" s="372"/>
      <c r="EV34" s="372"/>
      <c r="EW34" s="372"/>
      <c r="EX34" s="372"/>
      <c r="EY34" s="372"/>
      <c r="EZ34" s="372"/>
      <c r="FA34" s="372"/>
      <c r="FB34" s="372"/>
      <c r="FC34" s="372"/>
      <c r="FD34" s="372"/>
      <c r="FE34" s="372"/>
      <c r="FF34" s="372"/>
      <c r="FG34" s="372"/>
      <c r="FH34" s="372"/>
      <c r="FI34" s="372"/>
      <c r="FJ34" s="372"/>
      <c r="FK34" s="372"/>
      <c r="FL34" s="372"/>
      <c r="FM34" s="372"/>
      <c r="FN34" s="372"/>
      <c r="FO34" s="372"/>
      <c r="FP34" s="372"/>
      <c r="FQ34" s="372"/>
      <c r="FR34" s="372"/>
      <c r="FS34" s="372"/>
      <c r="FT34" s="372"/>
      <c r="FU34" s="372"/>
      <c r="FV34" s="372"/>
      <c r="FW34" s="372"/>
      <c r="FX34" s="372"/>
      <c r="FY34" s="372"/>
      <c r="FZ34" s="372"/>
      <c r="GA34" s="372"/>
      <c r="GB34" s="372"/>
      <c r="GC34" s="372"/>
      <c r="GD34" s="372"/>
      <c r="GE34" s="372"/>
      <c r="GF34" s="372"/>
    </row>
    <row r="35" spans="1:188" s="23" customFormat="1" ht="14.25" thickTop="1" thickBot="1" x14ac:dyDescent="0.25">
      <c r="A35" s="372"/>
      <c r="C35" s="449" t="s">
        <v>225</v>
      </c>
      <c r="D35" s="4" t="str">
        <f>'Tariff Inputs'!I68</f>
        <v>KES</v>
      </c>
      <c r="E35" s="5">
        <f>E10*'Tariff Inputs'!$D98</f>
        <v>0</v>
      </c>
      <c r="F35" s="5">
        <f>F10*'Tariff Inputs'!$D98</f>
        <v>0</v>
      </c>
      <c r="G35" s="5">
        <f>G10*'Tariff Inputs'!$D98</f>
        <v>0</v>
      </c>
      <c r="H35" s="5">
        <f>H10*'Tariff Inputs'!$D98</f>
        <v>0</v>
      </c>
      <c r="I35" s="5">
        <f>I10*'Tariff Inputs'!$D98</f>
        <v>0</v>
      </c>
      <c r="J35" s="5">
        <f>J10*'Tariff Inputs'!$D98</f>
        <v>0</v>
      </c>
      <c r="K35" s="5">
        <f>K10*'Tariff Inputs'!$D98</f>
        <v>0</v>
      </c>
      <c r="L35" s="5">
        <f>L10*'Tariff Inputs'!$D98</f>
        <v>0</v>
      </c>
      <c r="M35" s="5">
        <f>M10*'Tariff Inputs'!$D98</f>
        <v>0</v>
      </c>
      <c r="N35" s="5">
        <f>N10*'Tariff Inputs'!$D98</f>
        <v>0</v>
      </c>
      <c r="O35" s="5">
        <f>O10*'Tariff Inputs'!$D98</f>
        <v>0</v>
      </c>
      <c r="P35" s="5">
        <f>P10*'Tariff Inputs'!$D98</f>
        <v>0</v>
      </c>
      <c r="Q35" s="5">
        <f>Q10*'Tariff Inputs'!$D98</f>
        <v>0</v>
      </c>
      <c r="R35" s="5">
        <f>R10*'Tariff Inputs'!$D98</f>
        <v>0</v>
      </c>
      <c r="S35" s="5">
        <f>S10*'Tariff Inputs'!$D98</f>
        <v>0</v>
      </c>
      <c r="T35" s="5">
        <f>T10*'Tariff Inputs'!$D98</f>
        <v>0</v>
      </c>
      <c r="U35" s="5">
        <f>U10*'Tariff Inputs'!$D98</f>
        <v>0</v>
      </c>
      <c r="V35" s="5">
        <f>V10*'Tariff Inputs'!$D98</f>
        <v>0</v>
      </c>
      <c r="W35" s="5">
        <f>W10*'Tariff Inputs'!$D98</f>
        <v>0</v>
      </c>
      <c r="X35" s="5">
        <f>X10*'Tariff Inputs'!$D98</f>
        <v>0</v>
      </c>
      <c r="Y35" s="5">
        <f>Y10*'Tariff Inputs'!$D98</f>
        <v>0</v>
      </c>
      <c r="Z35" s="5">
        <f>Z10*'Tariff Inputs'!$D98</f>
        <v>0</v>
      </c>
      <c r="AA35" s="5">
        <f>AA10*'Tariff Inputs'!$D98</f>
        <v>0</v>
      </c>
      <c r="AB35" s="5">
        <f>AB10*'Tariff Inputs'!$D98</f>
        <v>0</v>
      </c>
      <c r="AC35" s="5">
        <f>AC10*'Tariff Inputs'!$D98</f>
        <v>0</v>
      </c>
      <c r="AD35" s="5">
        <f>AD10*'Tariff Inputs'!$D98</f>
        <v>0</v>
      </c>
      <c r="AE35" s="5">
        <f>AE10*'Tariff Inputs'!$D98</f>
        <v>0</v>
      </c>
      <c r="AF35" s="5">
        <f>AF10*'Tariff Inputs'!$D98</f>
        <v>0</v>
      </c>
      <c r="AG35" s="5">
        <f>AG10*'Tariff Inputs'!$D98</f>
        <v>0</v>
      </c>
      <c r="AH35" s="5">
        <f>AH10*'Tariff Inputs'!$D98</f>
        <v>0</v>
      </c>
      <c r="AI35" s="5">
        <f>AI10*'Tariff Inputs'!$D98</f>
        <v>0</v>
      </c>
      <c r="AJ35" s="5">
        <f>AJ10*'Tariff Inputs'!$D98</f>
        <v>0</v>
      </c>
      <c r="AK35" s="5">
        <f>AK10*'Tariff Inputs'!$D98</f>
        <v>0</v>
      </c>
      <c r="AL35" s="5">
        <f>AL10*'Tariff Inputs'!$D98</f>
        <v>0</v>
      </c>
      <c r="AM35" s="5">
        <f>AM10*'Tariff Inputs'!$D98</f>
        <v>0</v>
      </c>
      <c r="AN35" s="5">
        <f>AN10*'Tariff Inputs'!$D98</f>
        <v>0</v>
      </c>
      <c r="AO35" s="5">
        <f>AO10*'Tariff Inputs'!$D98</f>
        <v>0</v>
      </c>
      <c r="AP35" s="5">
        <f>AP10*'Tariff Inputs'!$D98</f>
        <v>0</v>
      </c>
      <c r="AQ35" s="5">
        <f>AQ10*'Tariff Inputs'!$D98</f>
        <v>0</v>
      </c>
      <c r="AR35" s="269">
        <f>AR10*'Tariff Inputs'!$D98</f>
        <v>0</v>
      </c>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c r="CO35" s="372"/>
      <c r="CP35" s="372"/>
      <c r="CQ35" s="372"/>
      <c r="CR35" s="372"/>
      <c r="CS35" s="372"/>
      <c r="CT35" s="372"/>
      <c r="CU35" s="372"/>
      <c r="CV35" s="372"/>
      <c r="CW35" s="372"/>
      <c r="CX35" s="372"/>
      <c r="CY35" s="372"/>
      <c r="CZ35" s="372"/>
      <c r="DA35" s="372"/>
      <c r="DB35" s="372"/>
      <c r="DC35" s="372"/>
      <c r="DD35" s="372"/>
      <c r="DE35" s="372"/>
      <c r="DF35" s="372"/>
      <c r="DG35" s="372"/>
      <c r="DH35" s="372"/>
      <c r="DI35" s="372"/>
      <c r="DJ35" s="372"/>
      <c r="DK35" s="372"/>
      <c r="DL35" s="372"/>
      <c r="DM35" s="372"/>
      <c r="DN35" s="372"/>
      <c r="DO35" s="372"/>
      <c r="DP35" s="372"/>
      <c r="DQ35" s="372"/>
      <c r="DR35" s="372"/>
      <c r="DS35" s="372"/>
      <c r="DT35" s="372"/>
      <c r="DU35" s="372"/>
      <c r="DV35" s="372"/>
      <c r="DW35" s="372"/>
      <c r="DX35" s="372"/>
      <c r="DY35" s="372"/>
      <c r="DZ35" s="372"/>
      <c r="EA35" s="372"/>
      <c r="EB35" s="372"/>
      <c r="EC35" s="372"/>
      <c r="ED35" s="372"/>
      <c r="EE35" s="372"/>
      <c r="EF35" s="372"/>
      <c r="EG35" s="372"/>
      <c r="EH35" s="372"/>
      <c r="EI35" s="372"/>
      <c r="EJ35" s="372"/>
      <c r="EK35" s="372"/>
      <c r="EL35" s="372"/>
      <c r="EM35" s="372"/>
      <c r="EN35" s="372"/>
      <c r="EO35" s="372"/>
      <c r="EP35" s="372"/>
      <c r="EQ35" s="372"/>
      <c r="ER35" s="372"/>
      <c r="ES35" s="372"/>
      <c r="ET35" s="372"/>
      <c r="EU35" s="372"/>
      <c r="EV35" s="372"/>
      <c r="EW35" s="372"/>
      <c r="EX35" s="372"/>
      <c r="EY35" s="372"/>
      <c r="EZ35" s="372"/>
      <c r="FA35" s="372"/>
      <c r="FB35" s="372"/>
      <c r="FC35" s="372"/>
      <c r="FD35" s="372"/>
      <c r="FE35" s="372"/>
      <c r="FF35" s="372"/>
      <c r="FG35" s="372"/>
      <c r="FH35" s="372"/>
      <c r="FI35" s="372"/>
      <c r="FJ35" s="372"/>
      <c r="FK35" s="372"/>
      <c r="FL35" s="372"/>
      <c r="FM35" s="372"/>
      <c r="FN35" s="372"/>
      <c r="FO35" s="372"/>
      <c r="FP35" s="372"/>
      <c r="FQ35" s="372"/>
      <c r="FR35" s="372"/>
      <c r="FS35" s="372"/>
      <c r="FT35" s="372"/>
      <c r="FU35" s="372"/>
      <c r="FV35" s="372"/>
      <c r="FW35" s="372"/>
      <c r="FX35" s="372"/>
      <c r="FY35" s="372"/>
      <c r="FZ35" s="372"/>
      <c r="GA35" s="372"/>
      <c r="GB35" s="372"/>
      <c r="GC35" s="372"/>
      <c r="GD35" s="372"/>
      <c r="GE35" s="372"/>
      <c r="GF35" s="372"/>
    </row>
    <row r="36" spans="1:188" ht="13.5" thickTop="1" x14ac:dyDescent="0.2"/>
    <row r="37" spans="1:188" x14ac:dyDescent="0.2">
      <c r="C37" s="450" t="s">
        <v>515</v>
      </c>
    </row>
    <row r="38" spans="1:188" x14ac:dyDescent="0.2">
      <c r="C38" s="15"/>
      <c r="D38" s="16"/>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8"/>
    </row>
    <row r="39" spans="1:188" x14ac:dyDescent="0.2">
      <c r="C39" s="496" t="s">
        <v>182</v>
      </c>
      <c r="D39" s="112"/>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10"/>
    </row>
    <row r="40" spans="1:188" ht="7.5" customHeight="1" x14ac:dyDescent="0.2">
      <c r="C40" s="19"/>
      <c r="D40" s="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2"/>
    </row>
    <row r="41" spans="1:188" x14ac:dyDescent="0.2">
      <c r="C41" s="497" t="s">
        <v>226</v>
      </c>
      <c r="D41" s="498" t="str">
        <f>IF(D33="KES", "KES/kWh","$cts/Kwh")</f>
        <v>KES/kWh</v>
      </c>
      <c r="E41" s="499">
        <f t="shared" ref="E41:AR41" si="6">IF(E10&gt;0,E33/E10,0)</f>
        <v>0</v>
      </c>
      <c r="F41" s="499">
        <f t="shared" si="6"/>
        <v>0</v>
      </c>
      <c r="G41" s="499">
        <f t="shared" si="6"/>
        <v>0</v>
      </c>
      <c r="H41" s="499">
        <f t="shared" si="6"/>
        <v>0</v>
      </c>
      <c r="I41" s="499">
        <f t="shared" si="6"/>
        <v>0</v>
      </c>
      <c r="J41" s="499">
        <f t="shared" si="6"/>
        <v>0</v>
      </c>
      <c r="K41" s="499">
        <f t="shared" si="6"/>
        <v>0</v>
      </c>
      <c r="L41" s="499">
        <f t="shared" si="6"/>
        <v>0</v>
      </c>
      <c r="M41" s="499">
        <f t="shared" si="6"/>
        <v>0</v>
      </c>
      <c r="N41" s="499">
        <f t="shared" si="6"/>
        <v>0</v>
      </c>
      <c r="O41" s="499">
        <f t="shared" si="6"/>
        <v>0</v>
      </c>
      <c r="P41" s="499">
        <f t="shared" si="6"/>
        <v>0</v>
      </c>
      <c r="Q41" s="499">
        <f t="shared" si="6"/>
        <v>0</v>
      </c>
      <c r="R41" s="499">
        <f t="shared" si="6"/>
        <v>0</v>
      </c>
      <c r="S41" s="499">
        <f t="shared" si="6"/>
        <v>0</v>
      </c>
      <c r="T41" s="499">
        <f t="shared" si="6"/>
        <v>0</v>
      </c>
      <c r="U41" s="499">
        <f t="shared" si="6"/>
        <v>0</v>
      </c>
      <c r="V41" s="499">
        <f t="shared" si="6"/>
        <v>0</v>
      </c>
      <c r="W41" s="499">
        <f t="shared" si="6"/>
        <v>0</v>
      </c>
      <c r="X41" s="499">
        <f t="shared" si="6"/>
        <v>0</v>
      </c>
      <c r="Y41" s="499">
        <f t="shared" si="6"/>
        <v>0</v>
      </c>
      <c r="Z41" s="499">
        <f t="shared" si="6"/>
        <v>0</v>
      </c>
      <c r="AA41" s="499">
        <f t="shared" si="6"/>
        <v>0</v>
      </c>
      <c r="AB41" s="499">
        <f t="shared" si="6"/>
        <v>0</v>
      </c>
      <c r="AC41" s="499">
        <f t="shared" si="6"/>
        <v>0</v>
      </c>
      <c r="AD41" s="499">
        <f t="shared" si="6"/>
        <v>0</v>
      </c>
      <c r="AE41" s="499">
        <f t="shared" si="6"/>
        <v>0</v>
      </c>
      <c r="AF41" s="499">
        <f t="shared" si="6"/>
        <v>0</v>
      </c>
      <c r="AG41" s="499">
        <f t="shared" si="6"/>
        <v>0</v>
      </c>
      <c r="AH41" s="499">
        <f t="shared" si="6"/>
        <v>0</v>
      </c>
      <c r="AI41" s="499">
        <f t="shared" si="6"/>
        <v>0</v>
      </c>
      <c r="AJ41" s="499">
        <f t="shared" si="6"/>
        <v>0</v>
      </c>
      <c r="AK41" s="499">
        <f t="shared" si="6"/>
        <v>0</v>
      </c>
      <c r="AL41" s="499">
        <f t="shared" si="6"/>
        <v>0</v>
      </c>
      <c r="AM41" s="499">
        <f t="shared" si="6"/>
        <v>0</v>
      </c>
      <c r="AN41" s="499">
        <f t="shared" si="6"/>
        <v>0</v>
      </c>
      <c r="AO41" s="499">
        <f t="shared" si="6"/>
        <v>0</v>
      </c>
      <c r="AP41" s="499">
        <f t="shared" si="6"/>
        <v>0</v>
      </c>
      <c r="AQ41" s="499">
        <f t="shared" si="6"/>
        <v>0</v>
      </c>
      <c r="AR41" s="499">
        <f t="shared" si="6"/>
        <v>0</v>
      </c>
    </row>
    <row r="42" spans="1:188" ht="6.75" customHeight="1" x14ac:dyDescent="0.2">
      <c r="C42" s="430"/>
      <c r="D42" s="112"/>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10"/>
    </row>
    <row r="43" spans="1:188" x14ac:dyDescent="0.2">
      <c r="C43" s="497" t="s">
        <v>298</v>
      </c>
      <c r="D43" s="498" t="str">
        <f>IF(D33="KES", "KES/kWh","$cts/Kwh")</f>
        <v>KES/kWh</v>
      </c>
      <c r="E43" s="499">
        <f>IF(SUM(E49:AR49)&gt;0,SUM(E48:AR48)/SUM(E49:AR49),0)</f>
        <v>0</v>
      </c>
      <c r="F43" s="499">
        <f>IF(F5&lt;='Tariff Inputs'!$D17,E43*(1+'Tariff Inputs'!$D$92),0)</f>
        <v>0</v>
      </c>
      <c r="G43" s="499">
        <f>IF(G5&lt;='Tariff Inputs'!$D17,F43*(1+'Tariff Inputs'!$D$92),0)</f>
        <v>0</v>
      </c>
      <c r="H43" s="499">
        <f>IF(H5&lt;='Tariff Inputs'!$D17,G43*(1+'Tariff Inputs'!$D$92),0)</f>
        <v>0</v>
      </c>
      <c r="I43" s="499">
        <f>IF(I5&lt;='Tariff Inputs'!$D17,H43*(1+'Tariff Inputs'!$D$92),0)</f>
        <v>0</v>
      </c>
      <c r="J43" s="499">
        <f>IF(J5&lt;='Tariff Inputs'!$D17,I43*(1+'Tariff Inputs'!$D$92),0)</f>
        <v>0</v>
      </c>
      <c r="K43" s="499">
        <f>IF(K5&lt;='Tariff Inputs'!$D17,J43*(1+'Tariff Inputs'!$D$92),0)</f>
        <v>0</v>
      </c>
      <c r="L43" s="499">
        <f>IF(L5&lt;='Tariff Inputs'!$D17,K43*(1+'Tariff Inputs'!$D$92),0)</f>
        <v>0</v>
      </c>
      <c r="M43" s="499">
        <f>IF(M5&lt;='Tariff Inputs'!$D17,L43*(1+'Tariff Inputs'!$D$92),0)</f>
        <v>0</v>
      </c>
      <c r="N43" s="499">
        <f>IF(N5&lt;='Tariff Inputs'!$D17,M43*(1+'Tariff Inputs'!$D$92),0)</f>
        <v>0</v>
      </c>
      <c r="O43" s="499">
        <f>IF(O5&lt;='Tariff Inputs'!$D17,N43*(1+'Tariff Inputs'!$D$92),0)</f>
        <v>0</v>
      </c>
      <c r="P43" s="499">
        <f>IF(P5&lt;='Tariff Inputs'!$D17,O43*(1+'Tariff Inputs'!$D$92),0)</f>
        <v>0</v>
      </c>
      <c r="Q43" s="499">
        <f>IF(Q5&lt;='Tariff Inputs'!$D17,P43*(1+'Tariff Inputs'!$D$92),0)</f>
        <v>0</v>
      </c>
      <c r="R43" s="499">
        <f>IF(R5&lt;='Tariff Inputs'!$D17,Q43*(1+'Tariff Inputs'!$D$92),0)</f>
        <v>0</v>
      </c>
      <c r="S43" s="499">
        <f>IF(S5&lt;='Tariff Inputs'!$D17,R43*(1+'Tariff Inputs'!$D$92),0)</f>
        <v>0</v>
      </c>
      <c r="T43" s="499">
        <f>IF(T5&lt;='Tariff Inputs'!$D17,S43*(1+'Tariff Inputs'!$D$92),0)</f>
        <v>0</v>
      </c>
      <c r="U43" s="499">
        <f>IF(U5&lt;='Tariff Inputs'!$D17,T43*(1+'Tariff Inputs'!$D$92),0)</f>
        <v>0</v>
      </c>
      <c r="V43" s="499">
        <f>IF(V5&lt;='Tariff Inputs'!$D17,U43*(1+'Tariff Inputs'!$D$92),0)</f>
        <v>0</v>
      </c>
      <c r="W43" s="499">
        <f>IF(W5&lt;='Tariff Inputs'!$D17,V43*(1+'Tariff Inputs'!$D$92),0)</f>
        <v>0</v>
      </c>
      <c r="X43" s="499">
        <f>IF(X5&lt;='Tariff Inputs'!$D17,W43*(1+'Tariff Inputs'!$D$92),0)</f>
        <v>0</v>
      </c>
      <c r="Y43" s="499">
        <f>IF(Y5&lt;='Tariff Inputs'!$D17,X43*(1+'Tariff Inputs'!$D$92),0)</f>
        <v>0</v>
      </c>
      <c r="Z43" s="499">
        <f>IF(Z5&lt;='Tariff Inputs'!$D17,Y43*(1+'Tariff Inputs'!$D$92),0)</f>
        <v>0</v>
      </c>
      <c r="AA43" s="499">
        <f>IF(AA5&lt;='Tariff Inputs'!$D17,Z43*(1+'Tariff Inputs'!$D$92),0)</f>
        <v>0</v>
      </c>
      <c r="AB43" s="499">
        <f>IF(AB5&lt;='Tariff Inputs'!$D17,AA43*(1+'Tariff Inputs'!$D$92),0)</f>
        <v>0</v>
      </c>
      <c r="AC43" s="499">
        <f>IF(AC5&lt;='Tariff Inputs'!$D17,AB43*(1+'Tariff Inputs'!$D$92),0)</f>
        <v>0</v>
      </c>
      <c r="AD43" s="499">
        <f>IF(AD5&lt;='Tariff Inputs'!$D17,AC43*(1+'Tariff Inputs'!$D$92),0)</f>
        <v>0</v>
      </c>
      <c r="AE43" s="499">
        <f>IF(AE5&lt;='Tariff Inputs'!$D17,AD43*(1+'Tariff Inputs'!$D$92),0)</f>
        <v>0</v>
      </c>
      <c r="AF43" s="499">
        <f>IF(AF5&lt;='Tariff Inputs'!$D17,AE43*(1+'Tariff Inputs'!$D$92),0)</f>
        <v>0</v>
      </c>
      <c r="AG43" s="499">
        <f>IF(AG5&lt;='Tariff Inputs'!$D17,AF43*(1+'Tariff Inputs'!$D$92),0)</f>
        <v>0</v>
      </c>
      <c r="AH43" s="499">
        <f>IF(AH5&lt;='Tariff Inputs'!$D17,AG43*(1+'Tariff Inputs'!$D$92),0)</f>
        <v>0</v>
      </c>
      <c r="AI43" s="499">
        <f>IF(AI5&lt;='Tariff Inputs'!$D17,AH43*(1+'Tariff Inputs'!$D$92),0)</f>
        <v>0</v>
      </c>
      <c r="AJ43" s="499">
        <f>IF(AJ5&lt;='Tariff Inputs'!$D17,AI43*(1+'Tariff Inputs'!$D$92),0)</f>
        <v>0</v>
      </c>
      <c r="AK43" s="499">
        <f>IF(AK5&lt;='Tariff Inputs'!$D17,AJ43*(1+'Tariff Inputs'!$D$92),0)</f>
        <v>0</v>
      </c>
      <c r="AL43" s="499">
        <f>IF(AL5&lt;='Tariff Inputs'!$D17,AK43*(1+'Tariff Inputs'!$D$92),0)</f>
        <v>0</v>
      </c>
      <c r="AM43" s="499">
        <f>IF(AM5&lt;='Tariff Inputs'!$D17,AL43*(1+'Tariff Inputs'!$D$92),0)</f>
        <v>0</v>
      </c>
      <c r="AN43" s="499">
        <f>IF(AN5&lt;='Tariff Inputs'!$D17,AM43*(1+'Tariff Inputs'!$D$92),0)</f>
        <v>0</v>
      </c>
      <c r="AO43" s="499">
        <f>IF(AO5&lt;='Tariff Inputs'!$D17,AN43*(1+'Tariff Inputs'!$D$92),0)</f>
        <v>0</v>
      </c>
      <c r="AP43" s="499">
        <f>IF(AP5&lt;='Tariff Inputs'!$D17,AO43*(1+'Tariff Inputs'!$D$92),0)</f>
        <v>0</v>
      </c>
      <c r="AQ43" s="499">
        <f>IF(AQ5&lt;='Tariff Inputs'!$D17,AP43*(1+'Tariff Inputs'!$D$92),0)</f>
        <v>0</v>
      </c>
      <c r="AR43" s="499">
        <f>IF(AR5&lt;='Tariff Inputs'!$D17,AQ43*(1+'Tariff Inputs'!$D$92),0)</f>
        <v>0</v>
      </c>
    </row>
    <row r="44" spans="1:188" ht="8.25" customHeight="1" x14ac:dyDescent="0.2">
      <c r="C44" s="430"/>
      <c r="D44" s="112"/>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10"/>
    </row>
    <row r="45" spans="1:188" x14ac:dyDescent="0.2">
      <c r="C45" s="500" t="s">
        <v>242</v>
      </c>
      <c r="D45" s="112"/>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10"/>
    </row>
    <row r="46" spans="1:188" x14ac:dyDescent="0.2">
      <c r="C46" s="433" t="s">
        <v>241</v>
      </c>
      <c r="D46" s="283" t="str">
        <f>'Tariff Inputs'!I68</f>
        <v>KES</v>
      </c>
      <c r="E46" s="17">
        <f t="shared" ref="E46:AR46" si="7">E18+E16</f>
        <v>0</v>
      </c>
      <c r="F46" s="17">
        <f t="shared" si="7"/>
        <v>0</v>
      </c>
      <c r="G46" s="17">
        <f t="shared" si="7"/>
        <v>0</v>
      </c>
      <c r="H46" s="17">
        <f t="shared" si="7"/>
        <v>0</v>
      </c>
      <c r="I46" s="17">
        <f t="shared" si="7"/>
        <v>0</v>
      </c>
      <c r="J46" s="17">
        <f t="shared" si="7"/>
        <v>0</v>
      </c>
      <c r="K46" s="17">
        <f t="shared" si="7"/>
        <v>0</v>
      </c>
      <c r="L46" s="17">
        <f t="shared" si="7"/>
        <v>0</v>
      </c>
      <c r="M46" s="17">
        <f t="shared" si="7"/>
        <v>0</v>
      </c>
      <c r="N46" s="17">
        <f t="shared" si="7"/>
        <v>0</v>
      </c>
      <c r="O46" s="17">
        <f t="shared" si="7"/>
        <v>0</v>
      </c>
      <c r="P46" s="17">
        <f t="shared" si="7"/>
        <v>0</v>
      </c>
      <c r="Q46" s="17">
        <f t="shared" si="7"/>
        <v>0</v>
      </c>
      <c r="R46" s="17">
        <f t="shared" si="7"/>
        <v>0</v>
      </c>
      <c r="S46" s="17">
        <f t="shared" si="7"/>
        <v>0</v>
      </c>
      <c r="T46" s="17">
        <f t="shared" si="7"/>
        <v>0</v>
      </c>
      <c r="U46" s="17">
        <f t="shared" si="7"/>
        <v>0</v>
      </c>
      <c r="V46" s="17">
        <f t="shared" si="7"/>
        <v>0</v>
      </c>
      <c r="W46" s="17">
        <f t="shared" si="7"/>
        <v>0</v>
      </c>
      <c r="X46" s="17">
        <f t="shared" si="7"/>
        <v>0</v>
      </c>
      <c r="Y46" s="17">
        <f t="shared" si="7"/>
        <v>0</v>
      </c>
      <c r="Z46" s="17">
        <f t="shared" si="7"/>
        <v>0</v>
      </c>
      <c r="AA46" s="17">
        <f t="shared" si="7"/>
        <v>0</v>
      </c>
      <c r="AB46" s="17">
        <f t="shared" si="7"/>
        <v>0</v>
      </c>
      <c r="AC46" s="17">
        <f t="shared" si="7"/>
        <v>0</v>
      </c>
      <c r="AD46" s="17">
        <f t="shared" si="7"/>
        <v>0</v>
      </c>
      <c r="AE46" s="17">
        <f t="shared" si="7"/>
        <v>0</v>
      </c>
      <c r="AF46" s="17">
        <f t="shared" si="7"/>
        <v>0</v>
      </c>
      <c r="AG46" s="17">
        <f t="shared" si="7"/>
        <v>0</v>
      </c>
      <c r="AH46" s="17">
        <f t="shared" si="7"/>
        <v>0</v>
      </c>
      <c r="AI46" s="17">
        <f t="shared" si="7"/>
        <v>0</v>
      </c>
      <c r="AJ46" s="17">
        <f t="shared" si="7"/>
        <v>0</v>
      </c>
      <c r="AK46" s="17">
        <f t="shared" si="7"/>
        <v>0</v>
      </c>
      <c r="AL46" s="17">
        <f t="shared" si="7"/>
        <v>0</v>
      </c>
      <c r="AM46" s="17">
        <f t="shared" si="7"/>
        <v>0</v>
      </c>
      <c r="AN46" s="17">
        <f t="shared" si="7"/>
        <v>0</v>
      </c>
      <c r="AO46" s="17">
        <f t="shared" si="7"/>
        <v>0</v>
      </c>
      <c r="AP46" s="17">
        <f t="shared" si="7"/>
        <v>0</v>
      </c>
      <c r="AQ46" s="17">
        <f t="shared" si="7"/>
        <v>0</v>
      </c>
      <c r="AR46" s="18">
        <f t="shared" si="7"/>
        <v>0</v>
      </c>
    </row>
    <row r="47" spans="1:188" x14ac:dyDescent="0.2">
      <c r="C47" s="430" t="s">
        <v>240</v>
      </c>
      <c r="D47" s="12" t="str">
        <f>'Tariff Inputs'!I68</f>
        <v>KES</v>
      </c>
      <c r="E47" s="451">
        <f>IF(E5&lt;='Tariff Inputs'!$D17,1/(1+E26)^(E5-1),0)</f>
        <v>1</v>
      </c>
      <c r="F47" s="451">
        <f>IF(F5&lt;='Tariff Inputs'!$D17,1/(1+F26)^(F5-1),0)</f>
        <v>1</v>
      </c>
      <c r="G47" s="451">
        <f>IF(G5&lt;='Tariff Inputs'!$D17,1/(1+G26)^(G5-1),0)</f>
        <v>1</v>
      </c>
      <c r="H47" s="451">
        <f>IF(H5&lt;='Tariff Inputs'!$D17,1/(1+H26)^(H5-1),0)</f>
        <v>1</v>
      </c>
      <c r="I47" s="451">
        <f>IF(I5&lt;='Tariff Inputs'!$D17,1/(1+I26)^(I5-1),0)</f>
        <v>1</v>
      </c>
      <c r="J47" s="451">
        <f>IF(J5&lt;='Tariff Inputs'!$D17,1/(1+J26)^(J5-1),0)</f>
        <v>1</v>
      </c>
      <c r="K47" s="451">
        <f>IF(K5&lt;='Tariff Inputs'!$D17,1/(1+K26)^(K5-1),0)</f>
        <v>1</v>
      </c>
      <c r="L47" s="451">
        <f>IF(L5&lt;='Tariff Inputs'!$D17,1/(1+L26)^(L5-1),0)</f>
        <v>1</v>
      </c>
      <c r="M47" s="451">
        <f>IF(M5&lt;='Tariff Inputs'!$D17,1/(1+M26)^(M5-1),0)</f>
        <v>1</v>
      </c>
      <c r="N47" s="451">
        <f>IF(N5&lt;='Tariff Inputs'!$D17,1/(1+N26)^(N5-1),0)</f>
        <v>1</v>
      </c>
      <c r="O47" s="451">
        <f>IF(O5&lt;='Tariff Inputs'!$D17,1/(1+O26)^(O5-1),0)</f>
        <v>1</v>
      </c>
      <c r="P47" s="451">
        <f>IF(P5&lt;='Tariff Inputs'!$D17,1/(1+P26)^(P5-1),0)</f>
        <v>1</v>
      </c>
      <c r="Q47" s="451">
        <f>IF(Q5&lt;='Tariff Inputs'!$D17,1/(1+Q26)^(Q5-1),0)</f>
        <v>1</v>
      </c>
      <c r="R47" s="451">
        <f>IF(R5&lt;='Tariff Inputs'!$D17,1/(1+R26)^(R5-1),0)</f>
        <v>1</v>
      </c>
      <c r="S47" s="451">
        <f>IF(S5&lt;='Tariff Inputs'!$D17,1/(1+S26)^(S5-1),0)</f>
        <v>1</v>
      </c>
      <c r="T47" s="451">
        <f>IF(T5&lt;='Tariff Inputs'!$D17,1/(1+T26)^(T5-1),0)</f>
        <v>1</v>
      </c>
      <c r="U47" s="451">
        <f>IF(U5&lt;='Tariff Inputs'!$D17,1/(1+U26)^(U5-1),0)</f>
        <v>1</v>
      </c>
      <c r="V47" s="451">
        <f>IF(V5&lt;='Tariff Inputs'!$D17,1/(1+V26)^(V5-1),0)</f>
        <v>1</v>
      </c>
      <c r="W47" s="451">
        <f>IF(W5&lt;='Tariff Inputs'!$D17,1/(1+W26)^(W5-1),0)</f>
        <v>1</v>
      </c>
      <c r="X47" s="451">
        <f>IF(X5&lt;='Tariff Inputs'!$D17,1/(1+X26)^(X5-1),0)</f>
        <v>1</v>
      </c>
      <c r="Y47" s="451">
        <f>IF(Y5&lt;='Tariff Inputs'!$D17,1/(1+Y26)^(Y5-1),0)</f>
        <v>1</v>
      </c>
      <c r="Z47" s="451">
        <f>IF(Z5&lt;='Tariff Inputs'!$D17,1/(1+Z26)^(Z5-1),0)</f>
        <v>1</v>
      </c>
      <c r="AA47" s="451">
        <f>IF(AA5&lt;='Tariff Inputs'!$D17,1/(1+AA26)^(AA5-1),0)</f>
        <v>1</v>
      </c>
      <c r="AB47" s="451">
        <f>IF(AB5&lt;='Tariff Inputs'!$D17,1/(1+AB26)^(AB5-1),0)</f>
        <v>1</v>
      </c>
      <c r="AC47" s="451">
        <f>IF(AC5&lt;='Tariff Inputs'!$D17,1/(1+AC26)^(AC5-1),0)</f>
        <v>1</v>
      </c>
      <c r="AD47" s="451">
        <f>IF(AD5&lt;='Tariff Inputs'!$D17,1/(1+AD26)^(AD5-1),0)</f>
        <v>0</v>
      </c>
      <c r="AE47" s="451">
        <f>IF(AE5&lt;='Tariff Inputs'!$D17,1/(1+AE26)^(AE5-1),0)</f>
        <v>0</v>
      </c>
      <c r="AF47" s="451">
        <f>IF(AF5&lt;='Tariff Inputs'!$D17,1/(1+AF26)^(AF5-1),0)</f>
        <v>0</v>
      </c>
      <c r="AG47" s="451">
        <f>IF(AG5&lt;='Tariff Inputs'!$D17,1/(1+AG26)^(AG5-1),0)</f>
        <v>0</v>
      </c>
      <c r="AH47" s="451">
        <f>IF(AH5&lt;='Tariff Inputs'!$D17,1/(1+AH26)^(AH5-1),0)</f>
        <v>0</v>
      </c>
      <c r="AI47" s="451">
        <f>IF(AI5&lt;='Tariff Inputs'!$D17,1/(1+AI26)^(AI5-1),0)</f>
        <v>0</v>
      </c>
      <c r="AJ47" s="451">
        <f>IF(AJ5&lt;='Tariff Inputs'!$D17,1/(1+AJ26)^(AJ5-1),0)</f>
        <v>0</v>
      </c>
      <c r="AK47" s="451">
        <f>IF(AK5&lt;='Tariff Inputs'!$D17,1/(1+AK26)^(AK5-1),0)</f>
        <v>0</v>
      </c>
      <c r="AL47" s="451">
        <f>IF(AL5&lt;='Tariff Inputs'!$D17,1/(1+AL26)^(AL5-1),0)</f>
        <v>0</v>
      </c>
      <c r="AM47" s="451">
        <f>IF(AM5&lt;='Tariff Inputs'!$D17,1/(1+AM26)^(AM5-1),0)</f>
        <v>0</v>
      </c>
      <c r="AN47" s="451">
        <f>IF(AN5&lt;='Tariff Inputs'!$D17,1/(1+AN26)^(AN5-1),0)</f>
        <v>0</v>
      </c>
      <c r="AO47" s="451">
        <f>IF(AO5&lt;='Tariff Inputs'!$D17,1/(1+AO26)^(AO5-1),0)</f>
        <v>0</v>
      </c>
      <c r="AP47" s="451">
        <f>IF(AP5&lt;='Tariff Inputs'!$D17,1/(1+AP26)^(AP5-1),0)</f>
        <v>0</v>
      </c>
      <c r="AQ47" s="451">
        <f>IF(AQ5&lt;='Tariff Inputs'!$D17,1/(1+AQ26)^(AQ5-1),0)</f>
        <v>0</v>
      </c>
      <c r="AR47" s="452">
        <f>IF(AR5&lt;='Tariff Inputs'!$D17,1/(1+AR26)^(AR5-1),0)</f>
        <v>0</v>
      </c>
    </row>
    <row r="48" spans="1:188" x14ac:dyDescent="0.2">
      <c r="C48" s="430" t="s">
        <v>245</v>
      </c>
      <c r="D48" s="12" t="str">
        <f>'Tariff Inputs'!I68</f>
        <v>KES</v>
      </c>
      <c r="E48" s="104">
        <f>E46*E47</f>
        <v>0</v>
      </c>
      <c r="F48" s="104">
        <f t="shared" ref="F48:AR48" si="8">F46*F47</f>
        <v>0</v>
      </c>
      <c r="G48" s="104">
        <f t="shared" si="8"/>
        <v>0</v>
      </c>
      <c r="H48" s="104">
        <f t="shared" si="8"/>
        <v>0</v>
      </c>
      <c r="I48" s="104">
        <f t="shared" si="8"/>
        <v>0</v>
      </c>
      <c r="J48" s="104">
        <f t="shared" si="8"/>
        <v>0</v>
      </c>
      <c r="K48" s="104">
        <f t="shared" si="8"/>
        <v>0</v>
      </c>
      <c r="L48" s="104">
        <f t="shared" si="8"/>
        <v>0</v>
      </c>
      <c r="M48" s="104">
        <f t="shared" si="8"/>
        <v>0</v>
      </c>
      <c r="N48" s="104">
        <f t="shared" si="8"/>
        <v>0</v>
      </c>
      <c r="O48" s="104">
        <f t="shared" si="8"/>
        <v>0</v>
      </c>
      <c r="P48" s="104">
        <f t="shared" si="8"/>
        <v>0</v>
      </c>
      <c r="Q48" s="104">
        <f t="shared" si="8"/>
        <v>0</v>
      </c>
      <c r="R48" s="104">
        <f t="shared" si="8"/>
        <v>0</v>
      </c>
      <c r="S48" s="104">
        <f t="shared" si="8"/>
        <v>0</v>
      </c>
      <c r="T48" s="104">
        <f t="shared" si="8"/>
        <v>0</v>
      </c>
      <c r="U48" s="104">
        <f t="shared" si="8"/>
        <v>0</v>
      </c>
      <c r="V48" s="104">
        <f t="shared" si="8"/>
        <v>0</v>
      </c>
      <c r="W48" s="104">
        <f t="shared" si="8"/>
        <v>0</v>
      </c>
      <c r="X48" s="104">
        <f t="shared" si="8"/>
        <v>0</v>
      </c>
      <c r="Y48" s="104">
        <f t="shared" si="8"/>
        <v>0</v>
      </c>
      <c r="Z48" s="104">
        <f t="shared" si="8"/>
        <v>0</v>
      </c>
      <c r="AA48" s="104">
        <f t="shared" si="8"/>
        <v>0</v>
      </c>
      <c r="AB48" s="104">
        <f t="shared" si="8"/>
        <v>0</v>
      </c>
      <c r="AC48" s="104">
        <f t="shared" si="8"/>
        <v>0</v>
      </c>
      <c r="AD48" s="104">
        <f t="shared" si="8"/>
        <v>0</v>
      </c>
      <c r="AE48" s="104">
        <f t="shared" si="8"/>
        <v>0</v>
      </c>
      <c r="AF48" s="104">
        <f t="shared" si="8"/>
        <v>0</v>
      </c>
      <c r="AG48" s="104">
        <f t="shared" si="8"/>
        <v>0</v>
      </c>
      <c r="AH48" s="104">
        <f t="shared" si="8"/>
        <v>0</v>
      </c>
      <c r="AI48" s="104">
        <f t="shared" si="8"/>
        <v>0</v>
      </c>
      <c r="AJ48" s="104">
        <f t="shared" si="8"/>
        <v>0</v>
      </c>
      <c r="AK48" s="104">
        <f t="shared" si="8"/>
        <v>0</v>
      </c>
      <c r="AL48" s="104">
        <f t="shared" si="8"/>
        <v>0</v>
      </c>
      <c r="AM48" s="104">
        <f t="shared" si="8"/>
        <v>0</v>
      </c>
      <c r="AN48" s="104">
        <f t="shared" si="8"/>
        <v>0</v>
      </c>
      <c r="AO48" s="104">
        <f t="shared" si="8"/>
        <v>0</v>
      </c>
      <c r="AP48" s="104">
        <f t="shared" si="8"/>
        <v>0</v>
      </c>
      <c r="AQ48" s="104">
        <f t="shared" si="8"/>
        <v>0</v>
      </c>
      <c r="AR48" s="110">
        <f t="shared" si="8"/>
        <v>0</v>
      </c>
    </row>
    <row r="49" spans="3:44" x14ac:dyDescent="0.2">
      <c r="C49" s="432" t="s">
        <v>244</v>
      </c>
      <c r="D49" s="284" t="str">
        <f>'Tariff Inputs'!I68</f>
        <v>KES</v>
      </c>
      <c r="E49" s="21">
        <f t="shared" ref="E49:AR49" si="9">E47*E10</f>
        <v>0</v>
      </c>
      <c r="F49" s="21">
        <f t="shared" si="9"/>
        <v>0</v>
      </c>
      <c r="G49" s="21">
        <f t="shared" si="9"/>
        <v>0</v>
      </c>
      <c r="H49" s="21">
        <f t="shared" si="9"/>
        <v>0</v>
      </c>
      <c r="I49" s="21">
        <f t="shared" si="9"/>
        <v>0</v>
      </c>
      <c r="J49" s="21">
        <f t="shared" si="9"/>
        <v>0</v>
      </c>
      <c r="K49" s="21">
        <f t="shared" si="9"/>
        <v>0</v>
      </c>
      <c r="L49" s="21">
        <f t="shared" si="9"/>
        <v>0</v>
      </c>
      <c r="M49" s="21">
        <f t="shared" si="9"/>
        <v>0</v>
      </c>
      <c r="N49" s="21">
        <f t="shared" si="9"/>
        <v>0</v>
      </c>
      <c r="O49" s="21">
        <f t="shared" si="9"/>
        <v>0</v>
      </c>
      <c r="P49" s="21">
        <f t="shared" si="9"/>
        <v>0</v>
      </c>
      <c r="Q49" s="21">
        <f t="shared" si="9"/>
        <v>0</v>
      </c>
      <c r="R49" s="21">
        <f t="shared" si="9"/>
        <v>0</v>
      </c>
      <c r="S49" s="21">
        <f t="shared" si="9"/>
        <v>0</v>
      </c>
      <c r="T49" s="21">
        <f t="shared" si="9"/>
        <v>0</v>
      </c>
      <c r="U49" s="21">
        <f t="shared" si="9"/>
        <v>0</v>
      </c>
      <c r="V49" s="21">
        <f t="shared" si="9"/>
        <v>0</v>
      </c>
      <c r="W49" s="21">
        <f t="shared" si="9"/>
        <v>0</v>
      </c>
      <c r="X49" s="21">
        <f t="shared" si="9"/>
        <v>0</v>
      </c>
      <c r="Y49" s="21">
        <f t="shared" si="9"/>
        <v>0</v>
      </c>
      <c r="Z49" s="21">
        <f t="shared" si="9"/>
        <v>0</v>
      </c>
      <c r="AA49" s="21">
        <f t="shared" si="9"/>
        <v>0</v>
      </c>
      <c r="AB49" s="21">
        <f t="shared" si="9"/>
        <v>0</v>
      </c>
      <c r="AC49" s="21">
        <f t="shared" si="9"/>
        <v>0</v>
      </c>
      <c r="AD49" s="21">
        <f t="shared" si="9"/>
        <v>0</v>
      </c>
      <c r="AE49" s="21">
        <f t="shared" si="9"/>
        <v>0</v>
      </c>
      <c r="AF49" s="21">
        <f t="shared" si="9"/>
        <v>0</v>
      </c>
      <c r="AG49" s="21">
        <f t="shared" si="9"/>
        <v>0</v>
      </c>
      <c r="AH49" s="21">
        <f t="shared" si="9"/>
        <v>0</v>
      </c>
      <c r="AI49" s="21">
        <f t="shared" si="9"/>
        <v>0</v>
      </c>
      <c r="AJ49" s="21">
        <f t="shared" si="9"/>
        <v>0</v>
      </c>
      <c r="AK49" s="21">
        <f t="shared" si="9"/>
        <v>0</v>
      </c>
      <c r="AL49" s="21">
        <f t="shared" si="9"/>
        <v>0</v>
      </c>
      <c r="AM49" s="21">
        <f t="shared" si="9"/>
        <v>0</v>
      </c>
      <c r="AN49" s="21">
        <f t="shared" si="9"/>
        <v>0</v>
      </c>
      <c r="AO49" s="21">
        <f t="shared" si="9"/>
        <v>0</v>
      </c>
      <c r="AP49" s="21">
        <f t="shared" si="9"/>
        <v>0</v>
      </c>
      <c r="AQ49" s="21">
        <f t="shared" si="9"/>
        <v>0</v>
      </c>
      <c r="AR49" s="22">
        <f t="shared" si="9"/>
        <v>0</v>
      </c>
    </row>
    <row r="50" spans="3:44" x14ac:dyDescent="0.2">
      <c r="C50" s="434"/>
      <c r="D50" s="112"/>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10"/>
    </row>
    <row r="51" spans="3:44" x14ac:dyDescent="0.2">
      <c r="C51" s="469" t="s">
        <v>512</v>
      </c>
      <c r="D51" s="112"/>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10"/>
    </row>
    <row r="52" spans="3:44" ht="7.5" customHeight="1" x14ac:dyDescent="0.2">
      <c r="C52" s="434"/>
      <c r="D52" s="112"/>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10"/>
    </row>
    <row r="53" spans="3:44" x14ac:dyDescent="0.2">
      <c r="C53" s="470" t="s">
        <v>227</v>
      </c>
      <c r="D53" s="453" t="str">
        <f>IF(D33="KES", "KES/kWh","$cts/Kwh")</f>
        <v>KES/kWh</v>
      </c>
      <c r="E53" s="454">
        <f t="shared" ref="E53:AR53" si="10">IF(E10&gt;0,E34/E10,0)</f>
        <v>0</v>
      </c>
      <c r="F53" s="454">
        <f t="shared" si="10"/>
        <v>0</v>
      </c>
      <c r="G53" s="454">
        <f t="shared" si="10"/>
        <v>0</v>
      </c>
      <c r="H53" s="454">
        <f t="shared" si="10"/>
        <v>0</v>
      </c>
      <c r="I53" s="454">
        <f t="shared" si="10"/>
        <v>0</v>
      </c>
      <c r="J53" s="454">
        <f t="shared" si="10"/>
        <v>0</v>
      </c>
      <c r="K53" s="454">
        <f t="shared" si="10"/>
        <v>0</v>
      </c>
      <c r="L53" s="454">
        <f t="shared" si="10"/>
        <v>0</v>
      </c>
      <c r="M53" s="454">
        <f t="shared" si="10"/>
        <v>0</v>
      </c>
      <c r="N53" s="454">
        <f t="shared" si="10"/>
        <v>0</v>
      </c>
      <c r="O53" s="454">
        <f t="shared" si="10"/>
        <v>0</v>
      </c>
      <c r="P53" s="454">
        <f t="shared" si="10"/>
        <v>0</v>
      </c>
      <c r="Q53" s="454">
        <f t="shared" si="10"/>
        <v>0</v>
      </c>
      <c r="R53" s="454">
        <f t="shared" si="10"/>
        <v>0</v>
      </c>
      <c r="S53" s="454">
        <f t="shared" si="10"/>
        <v>0</v>
      </c>
      <c r="T53" s="454">
        <f t="shared" si="10"/>
        <v>0</v>
      </c>
      <c r="U53" s="454">
        <f t="shared" si="10"/>
        <v>0</v>
      </c>
      <c r="V53" s="454">
        <f t="shared" si="10"/>
        <v>0</v>
      </c>
      <c r="W53" s="454">
        <f t="shared" si="10"/>
        <v>0</v>
      </c>
      <c r="X53" s="454">
        <f t="shared" si="10"/>
        <v>0</v>
      </c>
      <c r="Y53" s="454">
        <f t="shared" si="10"/>
        <v>0</v>
      </c>
      <c r="Z53" s="454">
        <f t="shared" si="10"/>
        <v>0</v>
      </c>
      <c r="AA53" s="454">
        <f t="shared" si="10"/>
        <v>0</v>
      </c>
      <c r="AB53" s="454">
        <f t="shared" si="10"/>
        <v>0</v>
      </c>
      <c r="AC53" s="454">
        <f t="shared" si="10"/>
        <v>0</v>
      </c>
      <c r="AD53" s="454">
        <f t="shared" si="10"/>
        <v>0</v>
      </c>
      <c r="AE53" s="454">
        <f t="shared" si="10"/>
        <v>0</v>
      </c>
      <c r="AF53" s="454">
        <f t="shared" si="10"/>
        <v>0</v>
      </c>
      <c r="AG53" s="454">
        <f t="shared" si="10"/>
        <v>0</v>
      </c>
      <c r="AH53" s="454">
        <f t="shared" si="10"/>
        <v>0</v>
      </c>
      <c r="AI53" s="454">
        <f t="shared" si="10"/>
        <v>0</v>
      </c>
      <c r="AJ53" s="454">
        <f t="shared" si="10"/>
        <v>0</v>
      </c>
      <c r="AK53" s="454">
        <f t="shared" si="10"/>
        <v>0</v>
      </c>
      <c r="AL53" s="454">
        <f t="shared" si="10"/>
        <v>0</v>
      </c>
      <c r="AM53" s="454">
        <f t="shared" si="10"/>
        <v>0</v>
      </c>
      <c r="AN53" s="454">
        <f t="shared" si="10"/>
        <v>0</v>
      </c>
      <c r="AO53" s="454">
        <f t="shared" si="10"/>
        <v>0</v>
      </c>
      <c r="AP53" s="454">
        <f t="shared" si="10"/>
        <v>0</v>
      </c>
      <c r="AQ53" s="454">
        <f t="shared" si="10"/>
        <v>0</v>
      </c>
      <c r="AR53" s="454">
        <f t="shared" si="10"/>
        <v>0</v>
      </c>
    </row>
    <row r="54" spans="3:44" ht="7.5" customHeight="1" x14ac:dyDescent="0.2">
      <c r="C54" s="430"/>
      <c r="D54" s="112"/>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10"/>
    </row>
    <row r="55" spans="3:44" x14ac:dyDescent="0.2">
      <c r="C55" s="470" t="s">
        <v>228</v>
      </c>
      <c r="D55" s="453" t="str">
        <f>IF(D33="KES", "KES/kWh","$cts/Kwh")</f>
        <v>KES/kWh</v>
      </c>
      <c r="E55" s="454">
        <f>IF(SUM(E61:AR61)&gt;0,SUM(E60:AR60)/SUM(E61:AR61),0)</f>
        <v>0</v>
      </c>
      <c r="F55" s="454">
        <f>IF(F5&lt;='Tariff Inputs'!$D17,E55*(1+'Tariff Inputs'!$D$92),0)</f>
        <v>0</v>
      </c>
      <c r="G55" s="454">
        <f>IF(G5&lt;='Tariff Inputs'!$D17,F55*(1+'Tariff Inputs'!$D$92),0)</f>
        <v>0</v>
      </c>
      <c r="H55" s="454">
        <f>IF(H5&lt;='Tariff Inputs'!$D17,G55*(1+'Tariff Inputs'!$D$92),0)</f>
        <v>0</v>
      </c>
      <c r="I55" s="454">
        <f>IF(I5&lt;='Tariff Inputs'!$D17,H55*(1+'Tariff Inputs'!$D$92),0)</f>
        <v>0</v>
      </c>
      <c r="J55" s="454">
        <f>IF(J5&lt;='Tariff Inputs'!$D17,I55*(1+'Tariff Inputs'!$D$92),0)</f>
        <v>0</v>
      </c>
      <c r="K55" s="454">
        <f>IF(K5&lt;='Tariff Inputs'!$D17,J55*(1+'Tariff Inputs'!$D$92),0)</f>
        <v>0</v>
      </c>
      <c r="L55" s="454">
        <f>IF(L5&lt;='Tariff Inputs'!$D17,K55*(1+'Tariff Inputs'!$D$92),0)</f>
        <v>0</v>
      </c>
      <c r="M55" s="454">
        <f>IF(M5&lt;='Tariff Inputs'!$D17,L55*(1+'Tariff Inputs'!$D$92),0)</f>
        <v>0</v>
      </c>
      <c r="N55" s="454">
        <f>IF(N5&lt;='Tariff Inputs'!$D17,M55*(1+'Tariff Inputs'!$D$92),0)</f>
        <v>0</v>
      </c>
      <c r="O55" s="454">
        <f>IF(O5&lt;='Tariff Inputs'!$D17,N55*(1+'Tariff Inputs'!$D$92),0)</f>
        <v>0</v>
      </c>
      <c r="P55" s="454">
        <f>IF(P5&lt;='Tariff Inputs'!$D17,O55*(1+'Tariff Inputs'!$D$92),0)</f>
        <v>0</v>
      </c>
      <c r="Q55" s="454">
        <f>IF(Q5&lt;='Tariff Inputs'!$D17,P55*(1+'Tariff Inputs'!$D$92),0)</f>
        <v>0</v>
      </c>
      <c r="R55" s="454">
        <f>IF(R5&lt;='Tariff Inputs'!$D17,Q55*(1+'Tariff Inputs'!$D$92),0)</f>
        <v>0</v>
      </c>
      <c r="S55" s="454">
        <f>IF(S5&lt;='Tariff Inputs'!$D17,R55*(1+'Tariff Inputs'!$D$92),0)</f>
        <v>0</v>
      </c>
      <c r="T55" s="454">
        <f>IF(T5&lt;='Tariff Inputs'!$D17,S55*(1+'Tariff Inputs'!$D$92),0)</f>
        <v>0</v>
      </c>
      <c r="U55" s="454">
        <f>IF(U5&lt;='Tariff Inputs'!$D17,T55*(1+'Tariff Inputs'!$D$92),0)</f>
        <v>0</v>
      </c>
      <c r="V55" s="454">
        <f>IF(V5&lt;='Tariff Inputs'!$D17,U55*(1+'Tariff Inputs'!$D$92),0)</f>
        <v>0</v>
      </c>
      <c r="W55" s="454">
        <f>IF(W5&lt;='Tariff Inputs'!$D17,V55*(1+'Tariff Inputs'!$D$92),0)</f>
        <v>0</v>
      </c>
      <c r="X55" s="454">
        <f>IF(X5&lt;='Tariff Inputs'!$D17,W55*(1+'Tariff Inputs'!$D$92),0)</f>
        <v>0</v>
      </c>
      <c r="Y55" s="454">
        <f>IF(Y5&lt;='Tariff Inputs'!$D17,X55*(1+'Tariff Inputs'!$D$92),0)</f>
        <v>0</v>
      </c>
      <c r="Z55" s="454">
        <f>IF(Z5&lt;='Tariff Inputs'!$D17,Y55*(1+'Tariff Inputs'!$D$92),0)</f>
        <v>0</v>
      </c>
      <c r="AA55" s="454">
        <f>IF(AA5&lt;='Tariff Inputs'!$D17,Z55*(1+'Tariff Inputs'!$D$92),0)</f>
        <v>0</v>
      </c>
      <c r="AB55" s="454">
        <f>IF(AB5&lt;='Tariff Inputs'!$D17,AA55*(1+'Tariff Inputs'!$D$92),0)</f>
        <v>0</v>
      </c>
      <c r="AC55" s="454">
        <f>IF(AC5&lt;='Tariff Inputs'!$D17,AB55*(1+'Tariff Inputs'!$D$92),0)</f>
        <v>0</v>
      </c>
      <c r="AD55" s="454">
        <f>IF(AD5&lt;='Tariff Inputs'!$D17,AC55*(1+'Tariff Inputs'!$D$92),0)</f>
        <v>0</v>
      </c>
      <c r="AE55" s="454">
        <f>IF(AE5&lt;='Tariff Inputs'!$D17,AD55*(1+'Tariff Inputs'!$D$92),0)</f>
        <v>0</v>
      </c>
      <c r="AF55" s="454">
        <f>IF(AF5&lt;='Tariff Inputs'!$D17,AE55*(1+'Tariff Inputs'!$D$92),0)</f>
        <v>0</v>
      </c>
      <c r="AG55" s="454">
        <f>IF(AG5&lt;='Tariff Inputs'!$D17,AF55*(1+'Tariff Inputs'!$D$92),0)</f>
        <v>0</v>
      </c>
      <c r="AH55" s="454">
        <f>IF(AH5&lt;='Tariff Inputs'!$D17,AG55*(1+'Tariff Inputs'!$D$92),0)</f>
        <v>0</v>
      </c>
      <c r="AI55" s="454">
        <f>IF(AI5&lt;='Tariff Inputs'!$D17,AH55*(1+'Tariff Inputs'!$D$92),0)</f>
        <v>0</v>
      </c>
      <c r="AJ55" s="454">
        <f>IF(AJ5&lt;='Tariff Inputs'!$D17,AI55*(1+'Tariff Inputs'!$D$92),0)</f>
        <v>0</v>
      </c>
      <c r="AK55" s="454">
        <f>IF(AK5&lt;='Tariff Inputs'!$D17,AJ55*(1+'Tariff Inputs'!$D$92),0)</f>
        <v>0</v>
      </c>
      <c r="AL55" s="454">
        <f>IF(AL5&lt;='Tariff Inputs'!$D17,AK55*(1+'Tariff Inputs'!$D$92),0)</f>
        <v>0</v>
      </c>
      <c r="AM55" s="454">
        <f>IF(AM5&lt;='Tariff Inputs'!$D17,AL55*(1+'Tariff Inputs'!$D$92),0)</f>
        <v>0</v>
      </c>
      <c r="AN55" s="454">
        <f>IF(AN5&lt;='Tariff Inputs'!$D17,AM55*(1+'Tariff Inputs'!$D$92),0)</f>
        <v>0</v>
      </c>
      <c r="AO55" s="454">
        <f>IF(AO5&lt;='Tariff Inputs'!$D17,AN55*(1+'Tariff Inputs'!$D$92),0)</f>
        <v>0</v>
      </c>
      <c r="AP55" s="454">
        <f>IF(AP5&lt;='Tariff Inputs'!$D17,AO55*(1+'Tariff Inputs'!$D$92),0)</f>
        <v>0</v>
      </c>
      <c r="AQ55" s="454">
        <f>IF(AQ5&lt;='Tariff Inputs'!$D17,AP55*(1+'Tariff Inputs'!$D$92),0)</f>
        <v>0</v>
      </c>
      <c r="AR55" s="454">
        <f>IF(AR5&lt;='Tariff Inputs'!$D17,AQ55*(1+'Tariff Inputs'!$D$92),0)</f>
        <v>0</v>
      </c>
    </row>
    <row r="56" spans="3:44" ht="7.5" customHeight="1" x14ac:dyDescent="0.2">
      <c r="C56" s="430"/>
      <c r="D56" s="112"/>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10"/>
    </row>
    <row r="57" spans="3:44" x14ac:dyDescent="0.2">
      <c r="C57" s="471" t="s">
        <v>243</v>
      </c>
      <c r="D57" s="112"/>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10"/>
    </row>
    <row r="58" spans="3:44" x14ac:dyDescent="0.2">
      <c r="C58" s="433" t="s">
        <v>241</v>
      </c>
      <c r="D58" s="283" t="str">
        <f>'Tariff Inputs'!I68</f>
        <v>KES</v>
      </c>
      <c r="E58" s="17">
        <f t="shared" ref="E58:AR58" si="11">E16+E17+E18+E20</f>
        <v>0</v>
      </c>
      <c r="F58" s="17">
        <f t="shared" si="11"/>
        <v>0</v>
      </c>
      <c r="G58" s="17">
        <f t="shared" si="11"/>
        <v>0</v>
      </c>
      <c r="H58" s="17">
        <f t="shared" si="11"/>
        <v>0</v>
      </c>
      <c r="I58" s="17">
        <f t="shared" si="11"/>
        <v>0</v>
      </c>
      <c r="J58" s="17">
        <f t="shared" si="11"/>
        <v>0</v>
      </c>
      <c r="K58" s="17">
        <f t="shared" si="11"/>
        <v>0</v>
      </c>
      <c r="L58" s="17">
        <f t="shared" si="11"/>
        <v>0</v>
      </c>
      <c r="M58" s="17">
        <f t="shared" si="11"/>
        <v>0</v>
      </c>
      <c r="N58" s="17">
        <f t="shared" si="11"/>
        <v>0</v>
      </c>
      <c r="O58" s="17">
        <f t="shared" si="11"/>
        <v>0</v>
      </c>
      <c r="P58" s="17">
        <f t="shared" si="11"/>
        <v>0</v>
      </c>
      <c r="Q58" s="17">
        <f t="shared" si="11"/>
        <v>0</v>
      </c>
      <c r="R58" s="17">
        <f t="shared" si="11"/>
        <v>0</v>
      </c>
      <c r="S58" s="17">
        <f t="shared" si="11"/>
        <v>0</v>
      </c>
      <c r="T58" s="17">
        <f t="shared" si="11"/>
        <v>0</v>
      </c>
      <c r="U58" s="17">
        <f t="shared" si="11"/>
        <v>0</v>
      </c>
      <c r="V58" s="17">
        <f t="shared" si="11"/>
        <v>0</v>
      </c>
      <c r="W58" s="17">
        <f t="shared" si="11"/>
        <v>0</v>
      </c>
      <c r="X58" s="17">
        <f t="shared" si="11"/>
        <v>0</v>
      </c>
      <c r="Y58" s="17">
        <f t="shared" si="11"/>
        <v>0</v>
      </c>
      <c r="Z58" s="17">
        <f t="shared" si="11"/>
        <v>0</v>
      </c>
      <c r="AA58" s="17">
        <f t="shared" si="11"/>
        <v>0</v>
      </c>
      <c r="AB58" s="17">
        <f t="shared" si="11"/>
        <v>0</v>
      </c>
      <c r="AC58" s="17">
        <f t="shared" si="11"/>
        <v>0</v>
      </c>
      <c r="AD58" s="17">
        <f t="shared" si="11"/>
        <v>0</v>
      </c>
      <c r="AE58" s="17">
        <f t="shared" si="11"/>
        <v>0</v>
      </c>
      <c r="AF58" s="17">
        <f t="shared" si="11"/>
        <v>0</v>
      </c>
      <c r="AG58" s="17">
        <f t="shared" si="11"/>
        <v>0</v>
      </c>
      <c r="AH58" s="17">
        <f t="shared" si="11"/>
        <v>0</v>
      </c>
      <c r="AI58" s="17">
        <f t="shared" si="11"/>
        <v>0</v>
      </c>
      <c r="AJ58" s="17">
        <f t="shared" si="11"/>
        <v>0</v>
      </c>
      <c r="AK58" s="17">
        <f t="shared" si="11"/>
        <v>0</v>
      </c>
      <c r="AL58" s="17">
        <f t="shared" si="11"/>
        <v>0</v>
      </c>
      <c r="AM58" s="17">
        <f t="shared" si="11"/>
        <v>0</v>
      </c>
      <c r="AN58" s="17">
        <f t="shared" si="11"/>
        <v>0</v>
      </c>
      <c r="AO58" s="17">
        <f t="shared" si="11"/>
        <v>0</v>
      </c>
      <c r="AP58" s="17">
        <f t="shared" si="11"/>
        <v>0</v>
      </c>
      <c r="AQ58" s="17">
        <f t="shared" si="11"/>
        <v>0</v>
      </c>
      <c r="AR58" s="18">
        <f t="shared" si="11"/>
        <v>0</v>
      </c>
    </row>
    <row r="59" spans="3:44" x14ac:dyDescent="0.2">
      <c r="C59" s="430" t="s">
        <v>240</v>
      </c>
      <c r="D59" s="12" t="str">
        <f>'Tariff Inputs'!I68</f>
        <v>KES</v>
      </c>
      <c r="E59" s="451">
        <f>IF(E5&lt;='Tariff Inputs'!$D17,1/(1+E26)^(E5-1),0)</f>
        <v>1</v>
      </c>
      <c r="F59" s="451">
        <f>IF(F5&lt;='Tariff Inputs'!$D17,1/(1+F26)^(F5-1),0)</f>
        <v>1</v>
      </c>
      <c r="G59" s="451">
        <f>IF(G5&lt;='Tariff Inputs'!$D17,1/(1+G26)^(G5-1),0)</f>
        <v>1</v>
      </c>
      <c r="H59" s="451">
        <f>IF(H5&lt;='Tariff Inputs'!$D17,1/(1+H26)^(H5-1),0)</f>
        <v>1</v>
      </c>
      <c r="I59" s="451">
        <f>IF(I5&lt;='Tariff Inputs'!$D17,1/(1+I26)^(I5-1),0)</f>
        <v>1</v>
      </c>
      <c r="J59" s="451">
        <f>IF(J5&lt;='Tariff Inputs'!$D17,1/(1+J26)^(J5-1),0)</f>
        <v>1</v>
      </c>
      <c r="K59" s="451">
        <f>IF(K5&lt;='Tariff Inputs'!$D17,1/(1+K26)^(K5-1),0)</f>
        <v>1</v>
      </c>
      <c r="L59" s="451">
        <f>IF(L5&lt;='Tariff Inputs'!$D17,1/(1+L26)^(L5-1),0)</f>
        <v>1</v>
      </c>
      <c r="M59" s="451">
        <f>IF(M5&lt;='Tariff Inputs'!$D17,1/(1+M26)^(M5-1),0)</f>
        <v>1</v>
      </c>
      <c r="N59" s="451">
        <f>IF(N5&lt;='Tariff Inputs'!$D17,1/(1+N26)^(N5-1),0)</f>
        <v>1</v>
      </c>
      <c r="O59" s="451">
        <f>IF(O5&lt;='Tariff Inputs'!$D17,1/(1+O26)^(O5-1),0)</f>
        <v>1</v>
      </c>
      <c r="P59" s="451">
        <f>IF(P5&lt;='Tariff Inputs'!$D17,1/(1+P26)^(P5-1),0)</f>
        <v>1</v>
      </c>
      <c r="Q59" s="451">
        <f>IF(Q5&lt;='Tariff Inputs'!$D17,1/(1+Q26)^(Q5-1),0)</f>
        <v>1</v>
      </c>
      <c r="R59" s="451">
        <f>IF(R5&lt;='Tariff Inputs'!$D17,1/(1+R26)^(R5-1),0)</f>
        <v>1</v>
      </c>
      <c r="S59" s="451">
        <f>IF(S5&lt;='Tariff Inputs'!$D17,1/(1+S26)^(S5-1),0)</f>
        <v>1</v>
      </c>
      <c r="T59" s="451">
        <f>IF(T5&lt;='Tariff Inputs'!$D17,1/(1+T26)^(T5-1),0)</f>
        <v>1</v>
      </c>
      <c r="U59" s="451">
        <f>IF(U5&lt;='Tariff Inputs'!$D17,1/(1+U26)^(U5-1),0)</f>
        <v>1</v>
      </c>
      <c r="V59" s="451">
        <f>IF(V5&lt;='Tariff Inputs'!$D17,1/(1+V26)^(V5-1),0)</f>
        <v>1</v>
      </c>
      <c r="W59" s="451">
        <f>IF(W5&lt;='Tariff Inputs'!$D17,1/(1+W26)^(W5-1),0)</f>
        <v>1</v>
      </c>
      <c r="X59" s="451">
        <f>IF(X5&lt;='Tariff Inputs'!$D17,1/(1+X26)^(X5-1),0)</f>
        <v>1</v>
      </c>
      <c r="Y59" s="451">
        <f>IF(Y5&lt;='Tariff Inputs'!$D17,1/(1+Y26)^(Y5-1),0)</f>
        <v>1</v>
      </c>
      <c r="Z59" s="451">
        <f>IF(Z5&lt;='Tariff Inputs'!$D17,1/(1+Z26)^(Z5-1),0)</f>
        <v>1</v>
      </c>
      <c r="AA59" s="451">
        <f>IF(AA5&lt;='Tariff Inputs'!$D17,1/(1+AA26)^(AA5-1),0)</f>
        <v>1</v>
      </c>
      <c r="AB59" s="451">
        <f>IF(AB5&lt;='Tariff Inputs'!$D17,1/(1+AB26)^(AB5-1),0)</f>
        <v>1</v>
      </c>
      <c r="AC59" s="451">
        <f>IF(AC5&lt;='Tariff Inputs'!$D17,1/(1+AC26)^(AC5-1),0)</f>
        <v>1</v>
      </c>
      <c r="AD59" s="451">
        <f>IF(AD5&lt;='Tariff Inputs'!$D17,1/(1+AD26)^(AD5-1),0)</f>
        <v>0</v>
      </c>
      <c r="AE59" s="451">
        <f>IF(AE5&lt;='Tariff Inputs'!$D17,1/(1+AE26)^(AE5-1),0)</f>
        <v>0</v>
      </c>
      <c r="AF59" s="451">
        <f>IF(AF5&lt;='Tariff Inputs'!$D17,1/(1+AF26)^(AF5-1),0)</f>
        <v>0</v>
      </c>
      <c r="AG59" s="451">
        <f>IF(AG5&lt;='Tariff Inputs'!$D17,1/(1+AG26)^(AG5-1),0)</f>
        <v>0</v>
      </c>
      <c r="AH59" s="451">
        <f>IF(AH5&lt;='Tariff Inputs'!$D17,1/(1+AH26)^(AH5-1),0)</f>
        <v>0</v>
      </c>
      <c r="AI59" s="451">
        <f>IF(AI5&lt;='Tariff Inputs'!$D17,1/(1+AI26)^(AI5-1),0)</f>
        <v>0</v>
      </c>
      <c r="AJ59" s="451">
        <f>IF(AJ5&lt;='Tariff Inputs'!$D17,1/(1+AJ26)^(AJ5-1),0)</f>
        <v>0</v>
      </c>
      <c r="AK59" s="451">
        <f>IF(AK5&lt;='Tariff Inputs'!$D17,1/(1+AK26)^(AK5-1),0)</f>
        <v>0</v>
      </c>
      <c r="AL59" s="451">
        <f>IF(AL5&lt;='Tariff Inputs'!$D17,1/(1+AL26)^(AL5-1),0)</f>
        <v>0</v>
      </c>
      <c r="AM59" s="451">
        <f>IF(AM5&lt;='Tariff Inputs'!$D17,1/(1+AM26)^(AM5-1),0)</f>
        <v>0</v>
      </c>
      <c r="AN59" s="451">
        <f>IF(AN5&lt;='Tariff Inputs'!$D17,1/(1+AN26)^(AN5-1),0)</f>
        <v>0</v>
      </c>
      <c r="AO59" s="451">
        <f>IF(AO5&lt;='Tariff Inputs'!$D17,1/(1+AO26)^(AO5-1),0)</f>
        <v>0</v>
      </c>
      <c r="AP59" s="451">
        <f>IF(AP5&lt;='Tariff Inputs'!$D17,1/(1+AP26)^(AP5-1),0)</f>
        <v>0</v>
      </c>
      <c r="AQ59" s="451">
        <f>IF(AQ5&lt;='Tariff Inputs'!$D17,1/(1+AQ26)^(AQ5-1),0)</f>
        <v>0</v>
      </c>
      <c r="AR59" s="452">
        <f>IF(AR5&lt;='Tariff Inputs'!$D17,1/(1+AR26)^(AR5-1),0)</f>
        <v>0</v>
      </c>
    </row>
    <row r="60" spans="3:44" x14ac:dyDescent="0.2">
      <c r="C60" s="430" t="s">
        <v>245</v>
      </c>
      <c r="D60" s="12" t="str">
        <f>'Tariff Inputs'!I68</f>
        <v>KES</v>
      </c>
      <c r="E60" s="104">
        <f>E58*E59</f>
        <v>0</v>
      </c>
      <c r="F60" s="104">
        <f t="shared" ref="F60:X60" si="12">F58*F59</f>
        <v>0</v>
      </c>
      <c r="G60" s="104">
        <f t="shared" si="12"/>
        <v>0</v>
      </c>
      <c r="H60" s="104">
        <f t="shared" si="12"/>
        <v>0</v>
      </c>
      <c r="I60" s="104">
        <f t="shared" si="12"/>
        <v>0</v>
      </c>
      <c r="J60" s="104">
        <f t="shared" si="12"/>
        <v>0</v>
      </c>
      <c r="K60" s="104">
        <f t="shared" si="12"/>
        <v>0</v>
      </c>
      <c r="L60" s="104">
        <f t="shared" si="12"/>
        <v>0</v>
      </c>
      <c r="M60" s="104">
        <f t="shared" si="12"/>
        <v>0</v>
      </c>
      <c r="N60" s="104">
        <f t="shared" si="12"/>
        <v>0</v>
      </c>
      <c r="O60" s="104">
        <f t="shared" si="12"/>
        <v>0</v>
      </c>
      <c r="P60" s="104">
        <f t="shared" si="12"/>
        <v>0</v>
      </c>
      <c r="Q60" s="104">
        <f t="shared" si="12"/>
        <v>0</v>
      </c>
      <c r="R60" s="104">
        <f t="shared" si="12"/>
        <v>0</v>
      </c>
      <c r="S60" s="104">
        <f t="shared" si="12"/>
        <v>0</v>
      </c>
      <c r="T60" s="104">
        <f t="shared" si="12"/>
        <v>0</v>
      </c>
      <c r="U60" s="104">
        <f t="shared" si="12"/>
        <v>0</v>
      </c>
      <c r="V60" s="104">
        <f t="shared" si="12"/>
        <v>0</v>
      </c>
      <c r="W60" s="104">
        <f t="shared" si="12"/>
        <v>0</v>
      </c>
      <c r="X60" s="104">
        <f t="shared" si="12"/>
        <v>0</v>
      </c>
      <c r="Y60" s="104">
        <f>Y58*Y59</f>
        <v>0</v>
      </c>
      <c r="Z60" s="104">
        <f t="shared" ref="Z60" si="13">Z58*Z59</f>
        <v>0</v>
      </c>
      <c r="AA60" s="104">
        <f t="shared" ref="AA60" si="14">AA58*AA59</f>
        <v>0</v>
      </c>
      <c r="AB60" s="104">
        <f t="shared" ref="AB60" si="15">AB58*AB59</f>
        <v>0</v>
      </c>
      <c r="AC60" s="104">
        <f t="shared" ref="AC60" si="16">AC58*AC59</f>
        <v>0</v>
      </c>
      <c r="AD60" s="104">
        <f t="shared" ref="AD60" si="17">AD58*AD59</f>
        <v>0</v>
      </c>
      <c r="AE60" s="104">
        <f t="shared" ref="AE60" si="18">AE58*AE59</f>
        <v>0</v>
      </c>
      <c r="AF60" s="104">
        <f t="shared" ref="AF60" si="19">AF58*AF59</f>
        <v>0</v>
      </c>
      <c r="AG60" s="104">
        <f t="shared" ref="AG60" si="20">AG58*AG59</f>
        <v>0</v>
      </c>
      <c r="AH60" s="104">
        <f t="shared" ref="AH60" si="21">AH58*AH59</f>
        <v>0</v>
      </c>
      <c r="AI60" s="104">
        <f t="shared" ref="AI60" si="22">AI58*AI59</f>
        <v>0</v>
      </c>
      <c r="AJ60" s="104">
        <f t="shared" ref="AJ60" si="23">AJ58*AJ59</f>
        <v>0</v>
      </c>
      <c r="AK60" s="104">
        <f t="shared" ref="AK60" si="24">AK58*AK59</f>
        <v>0</v>
      </c>
      <c r="AL60" s="104">
        <f t="shared" ref="AL60" si="25">AL58*AL59</f>
        <v>0</v>
      </c>
      <c r="AM60" s="104">
        <f t="shared" ref="AM60" si="26">AM58*AM59</f>
        <v>0</v>
      </c>
      <c r="AN60" s="104">
        <f t="shared" ref="AN60" si="27">AN58*AN59</f>
        <v>0</v>
      </c>
      <c r="AO60" s="104">
        <f t="shared" ref="AO60" si="28">AO58*AO59</f>
        <v>0</v>
      </c>
      <c r="AP60" s="104">
        <f t="shared" ref="AP60" si="29">AP58*AP59</f>
        <v>0</v>
      </c>
      <c r="AQ60" s="104">
        <f t="shared" ref="AQ60" si="30">AQ58*AQ59</f>
        <v>0</v>
      </c>
      <c r="AR60" s="110">
        <f t="shared" ref="AR60" si="31">AR58*AR59</f>
        <v>0</v>
      </c>
    </row>
    <row r="61" spans="3:44" x14ac:dyDescent="0.2">
      <c r="C61" s="432" t="s">
        <v>244</v>
      </c>
      <c r="D61" s="284" t="str">
        <f>'Tariff Inputs'!I68</f>
        <v>KES</v>
      </c>
      <c r="E61" s="21">
        <f t="shared" ref="E61:AR61" si="32">E47*E10</f>
        <v>0</v>
      </c>
      <c r="F61" s="21">
        <f t="shared" si="32"/>
        <v>0</v>
      </c>
      <c r="G61" s="21">
        <f t="shared" si="32"/>
        <v>0</v>
      </c>
      <c r="H61" s="21">
        <f t="shared" si="32"/>
        <v>0</v>
      </c>
      <c r="I61" s="21">
        <f t="shared" si="32"/>
        <v>0</v>
      </c>
      <c r="J61" s="21">
        <f t="shared" si="32"/>
        <v>0</v>
      </c>
      <c r="K61" s="21">
        <f t="shared" si="32"/>
        <v>0</v>
      </c>
      <c r="L61" s="21">
        <f t="shared" si="32"/>
        <v>0</v>
      </c>
      <c r="M61" s="21">
        <f t="shared" si="32"/>
        <v>0</v>
      </c>
      <c r="N61" s="21">
        <f t="shared" si="32"/>
        <v>0</v>
      </c>
      <c r="O61" s="21">
        <f t="shared" si="32"/>
        <v>0</v>
      </c>
      <c r="P61" s="21">
        <f t="shared" si="32"/>
        <v>0</v>
      </c>
      <c r="Q61" s="21">
        <f t="shared" si="32"/>
        <v>0</v>
      </c>
      <c r="R61" s="21">
        <f t="shared" si="32"/>
        <v>0</v>
      </c>
      <c r="S61" s="21">
        <f t="shared" si="32"/>
        <v>0</v>
      </c>
      <c r="T61" s="21">
        <f t="shared" si="32"/>
        <v>0</v>
      </c>
      <c r="U61" s="21">
        <f t="shared" si="32"/>
        <v>0</v>
      </c>
      <c r="V61" s="21">
        <f t="shared" si="32"/>
        <v>0</v>
      </c>
      <c r="W61" s="21">
        <f t="shared" si="32"/>
        <v>0</v>
      </c>
      <c r="X61" s="21">
        <f t="shared" si="32"/>
        <v>0</v>
      </c>
      <c r="Y61" s="21">
        <f t="shared" si="32"/>
        <v>0</v>
      </c>
      <c r="Z61" s="21">
        <f t="shared" si="32"/>
        <v>0</v>
      </c>
      <c r="AA61" s="21">
        <f t="shared" si="32"/>
        <v>0</v>
      </c>
      <c r="AB61" s="21">
        <f t="shared" si="32"/>
        <v>0</v>
      </c>
      <c r="AC61" s="21">
        <f t="shared" si="32"/>
        <v>0</v>
      </c>
      <c r="AD61" s="21">
        <f t="shared" si="32"/>
        <v>0</v>
      </c>
      <c r="AE61" s="21">
        <f t="shared" si="32"/>
        <v>0</v>
      </c>
      <c r="AF61" s="21">
        <f t="shared" si="32"/>
        <v>0</v>
      </c>
      <c r="AG61" s="21">
        <f t="shared" si="32"/>
        <v>0</v>
      </c>
      <c r="AH61" s="21">
        <f t="shared" si="32"/>
        <v>0</v>
      </c>
      <c r="AI61" s="21">
        <f t="shared" si="32"/>
        <v>0</v>
      </c>
      <c r="AJ61" s="21">
        <f t="shared" si="32"/>
        <v>0</v>
      </c>
      <c r="AK61" s="21">
        <f t="shared" si="32"/>
        <v>0</v>
      </c>
      <c r="AL61" s="21">
        <f t="shared" si="32"/>
        <v>0</v>
      </c>
      <c r="AM61" s="21">
        <f t="shared" si="32"/>
        <v>0</v>
      </c>
      <c r="AN61" s="21">
        <f t="shared" si="32"/>
        <v>0</v>
      </c>
      <c r="AO61" s="21">
        <f t="shared" si="32"/>
        <v>0</v>
      </c>
      <c r="AP61" s="21">
        <f t="shared" si="32"/>
        <v>0</v>
      </c>
      <c r="AQ61" s="21">
        <f t="shared" si="32"/>
        <v>0</v>
      </c>
      <c r="AR61" s="22">
        <f t="shared" si="32"/>
        <v>0</v>
      </c>
    </row>
    <row r="62" spans="3:44" x14ac:dyDescent="0.2">
      <c r="C62" s="434"/>
      <c r="D62" s="112"/>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10"/>
    </row>
    <row r="63" spans="3:44" x14ac:dyDescent="0.2">
      <c r="C63" s="472" t="s">
        <v>513</v>
      </c>
      <c r="D63" s="112"/>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10"/>
    </row>
    <row r="64" spans="3:44" ht="6.75" customHeight="1" x14ac:dyDescent="0.2">
      <c r="C64" s="434"/>
      <c r="D64" s="112"/>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10"/>
    </row>
    <row r="65" spans="3:44" x14ac:dyDescent="0.2">
      <c r="C65" s="455" t="s">
        <v>229</v>
      </c>
      <c r="D65" s="456" t="str">
        <f>D35</f>
        <v>KES</v>
      </c>
      <c r="E65" s="455">
        <f t="shared" ref="E65:AR65" si="33">E33-E35</f>
        <v>0</v>
      </c>
      <c r="F65" s="455">
        <f t="shared" si="33"/>
        <v>0</v>
      </c>
      <c r="G65" s="455">
        <f t="shared" si="33"/>
        <v>0</v>
      </c>
      <c r="H65" s="455">
        <f t="shared" si="33"/>
        <v>0</v>
      </c>
      <c r="I65" s="455">
        <f t="shared" si="33"/>
        <v>0</v>
      </c>
      <c r="J65" s="455">
        <f t="shared" si="33"/>
        <v>0</v>
      </c>
      <c r="K65" s="455">
        <f t="shared" si="33"/>
        <v>0</v>
      </c>
      <c r="L65" s="455">
        <f t="shared" si="33"/>
        <v>0</v>
      </c>
      <c r="M65" s="455">
        <f t="shared" si="33"/>
        <v>0</v>
      </c>
      <c r="N65" s="455">
        <f t="shared" si="33"/>
        <v>0</v>
      </c>
      <c r="O65" s="455">
        <f t="shared" si="33"/>
        <v>0</v>
      </c>
      <c r="P65" s="455">
        <f t="shared" si="33"/>
        <v>0</v>
      </c>
      <c r="Q65" s="455">
        <f t="shared" si="33"/>
        <v>0</v>
      </c>
      <c r="R65" s="455">
        <f t="shared" si="33"/>
        <v>0</v>
      </c>
      <c r="S65" s="455">
        <f t="shared" si="33"/>
        <v>0</v>
      </c>
      <c r="T65" s="455">
        <f t="shared" si="33"/>
        <v>0</v>
      </c>
      <c r="U65" s="455">
        <f t="shared" si="33"/>
        <v>0</v>
      </c>
      <c r="V65" s="455">
        <f t="shared" si="33"/>
        <v>0</v>
      </c>
      <c r="W65" s="455">
        <f t="shared" si="33"/>
        <v>0</v>
      </c>
      <c r="X65" s="455">
        <f t="shared" si="33"/>
        <v>0</v>
      </c>
      <c r="Y65" s="455">
        <f t="shared" si="33"/>
        <v>0</v>
      </c>
      <c r="Z65" s="455">
        <f t="shared" si="33"/>
        <v>0</v>
      </c>
      <c r="AA65" s="455">
        <f t="shared" si="33"/>
        <v>0</v>
      </c>
      <c r="AB65" s="455">
        <f t="shared" si="33"/>
        <v>0</v>
      </c>
      <c r="AC65" s="455">
        <f t="shared" si="33"/>
        <v>0</v>
      </c>
      <c r="AD65" s="455">
        <f t="shared" si="33"/>
        <v>0</v>
      </c>
      <c r="AE65" s="455">
        <f t="shared" si="33"/>
        <v>0</v>
      </c>
      <c r="AF65" s="455">
        <f t="shared" si="33"/>
        <v>0</v>
      </c>
      <c r="AG65" s="455">
        <f t="shared" si="33"/>
        <v>0</v>
      </c>
      <c r="AH65" s="455">
        <f t="shared" si="33"/>
        <v>0</v>
      </c>
      <c r="AI65" s="455">
        <f t="shared" si="33"/>
        <v>0</v>
      </c>
      <c r="AJ65" s="455">
        <f t="shared" si="33"/>
        <v>0</v>
      </c>
      <c r="AK65" s="455">
        <f t="shared" si="33"/>
        <v>0</v>
      </c>
      <c r="AL65" s="455">
        <f t="shared" si="33"/>
        <v>0</v>
      </c>
      <c r="AM65" s="455">
        <f t="shared" si="33"/>
        <v>0</v>
      </c>
      <c r="AN65" s="455">
        <f t="shared" si="33"/>
        <v>0</v>
      </c>
      <c r="AO65" s="455">
        <f t="shared" si="33"/>
        <v>0</v>
      </c>
      <c r="AP65" s="455">
        <f t="shared" si="33"/>
        <v>0</v>
      </c>
      <c r="AQ65" s="455">
        <f t="shared" si="33"/>
        <v>0</v>
      </c>
      <c r="AR65" s="455">
        <f t="shared" si="33"/>
        <v>0</v>
      </c>
    </row>
    <row r="66" spans="3:44" ht="7.5" customHeight="1" x14ac:dyDescent="0.2">
      <c r="C66" s="434"/>
      <c r="D66" s="112"/>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10"/>
    </row>
    <row r="67" spans="3:44" x14ac:dyDescent="0.2">
      <c r="C67" s="455" t="s">
        <v>246</v>
      </c>
      <c r="D67" s="456" t="str">
        <f>D35</f>
        <v>KES</v>
      </c>
      <c r="E67" s="455">
        <f>SUM(E71:AR71)</f>
        <v>0</v>
      </c>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10"/>
    </row>
    <row r="68" spans="3:44" ht="6.75" customHeight="1" x14ac:dyDescent="0.2">
      <c r="C68" s="434"/>
      <c r="D68" s="112"/>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10"/>
    </row>
    <row r="69" spans="3:44" x14ac:dyDescent="0.2">
      <c r="C69" s="457" t="s">
        <v>247</v>
      </c>
      <c r="D69" s="112"/>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10"/>
    </row>
    <row r="70" spans="3:44" x14ac:dyDescent="0.2">
      <c r="C70" s="15" t="s">
        <v>240</v>
      </c>
      <c r="D70" s="283" t="str">
        <f>'Tariff Inputs'!I68</f>
        <v>KES</v>
      </c>
      <c r="E70" s="458">
        <f>IF(E5&lt;='Tariff Inputs'!$D17,1/(1+E26)^(E5-1),0)</f>
        <v>1</v>
      </c>
      <c r="F70" s="458">
        <f>IF(F5&lt;='Tariff Inputs'!$D17,1/(1+F26)^(F5-1),0)</f>
        <v>1</v>
      </c>
      <c r="G70" s="458">
        <f>IF(G5&lt;='Tariff Inputs'!$D17,1/(1+G26)^(G5-1),0)</f>
        <v>1</v>
      </c>
      <c r="H70" s="458">
        <f>IF(H5&lt;='Tariff Inputs'!$D17,1/(1+H26)^(H5-1),0)</f>
        <v>1</v>
      </c>
      <c r="I70" s="458">
        <f>IF(I5&lt;='Tariff Inputs'!$D17,1/(1+I26)^(I5-1),0)</f>
        <v>1</v>
      </c>
      <c r="J70" s="458">
        <f>IF(J5&lt;='Tariff Inputs'!$D17,1/(1+J26)^(J5-1),0)</f>
        <v>1</v>
      </c>
      <c r="K70" s="458">
        <f>IF(K5&lt;='Tariff Inputs'!$D17,1/(1+K26)^(K5-1),0)</f>
        <v>1</v>
      </c>
      <c r="L70" s="458">
        <f>IF(L5&lt;='Tariff Inputs'!$D17,1/(1+L26)^(L5-1),0)</f>
        <v>1</v>
      </c>
      <c r="M70" s="458">
        <f>IF(M5&lt;='Tariff Inputs'!$D17,1/(1+M26)^(M5-1),0)</f>
        <v>1</v>
      </c>
      <c r="N70" s="458">
        <f>IF(N5&lt;='Tariff Inputs'!$D17,1/(1+N26)^(N5-1),0)</f>
        <v>1</v>
      </c>
      <c r="O70" s="458">
        <f>IF(O5&lt;='Tariff Inputs'!$D17,1/(1+O26)^(O5-1),0)</f>
        <v>1</v>
      </c>
      <c r="P70" s="458">
        <f>IF(P5&lt;='Tariff Inputs'!$D17,1/(1+P26)^(P5-1),0)</f>
        <v>1</v>
      </c>
      <c r="Q70" s="458">
        <f>IF(Q5&lt;='Tariff Inputs'!$D17,1/(1+Q26)^(Q5-1),0)</f>
        <v>1</v>
      </c>
      <c r="R70" s="458">
        <f>IF(R5&lt;='Tariff Inputs'!$D17,1/(1+R26)^(R5-1),0)</f>
        <v>1</v>
      </c>
      <c r="S70" s="458">
        <f>IF(S5&lt;='Tariff Inputs'!$D17,1/(1+S26)^(S5-1),0)</f>
        <v>1</v>
      </c>
      <c r="T70" s="458">
        <f>IF(T5&lt;='Tariff Inputs'!$D17,1/(1+T26)^(T5-1),0)</f>
        <v>1</v>
      </c>
      <c r="U70" s="458">
        <f>IF(U5&lt;='Tariff Inputs'!$D17,1/(1+U26)^(U5-1),0)</f>
        <v>1</v>
      </c>
      <c r="V70" s="458">
        <f>IF(V5&lt;='Tariff Inputs'!$D17,1/(1+V26)^(V5-1),0)</f>
        <v>1</v>
      </c>
      <c r="W70" s="458">
        <f>IF(W5&lt;='Tariff Inputs'!$D17,1/(1+W26)^(W5-1),0)</f>
        <v>1</v>
      </c>
      <c r="X70" s="458">
        <f>IF(X5&lt;='Tariff Inputs'!$D17,1/(1+X26)^(X5-1),0)</f>
        <v>1</v>
      </c>
      <c r="Y70" s="458">
        <f>IF(Y5&lt;='Tariff Inputs'!$D17,1/(1+Y26)^(Y5-1),0)</f>
        <v>1</v>
      </c>
      <c r="Z70" s="458">
        <f>IF(Z5&lt;='Tariff Inputs'!$D17,1/(1+Z26)^(Z5-1),0)</f>
        <v>1</v>
      </c>
      <c r="AA70" s="458">
        <f>IF(AA5&lt;='Tariff Inputs'!$D17,1/(1+AA26)^(AA5-1),0)</f>
        <v>1</v>
      </c>
      <c r="AB70" s="458">
        <f>IF(AB5&lt;='Tariff Inputs'!$D17,1/(1+AB26)^(AB5-1),0)</f>
        <v>1</v>
      </c>
      <c r="AC70" s="458">
        <f>IF(AC5&lt;='Tariff Inputs'!$D17,1/(1+AC26)^(AC5-1),0)</f>
        <v>1</v>
      </c>
      <c r="AD70" s="458">
        <f>IF(AD5&lt;='Tariff Inputs'!$D17,1/(1+AD26)^(AD5-1),0)</f>
        <v>0</v>
      </c>
      <c r="AE70" s="458">
        <f>IF(AE5&lt;='Tariff Inputs'!$D17,1/(1+AE26)^(AE5-1),0)</f>
        <v>0</v>
      </c>
      <c r="AF70" s="458">
        <f>IF(AF5&lt;='Tariff Inputs'!$D17,1/(1+AF26)^(AF5-1),0)</f>
        <v>0</v>
      </c>
      <c r="AG70" s="458">
        <f>IF(AG5&lt;='Tariff Inputs'!$D17,1/(1+AG26)^(AG5-1),0)</f>
        <v>0</v>
      </c>
      <c r="AH70" s="458">
        <f>IF(AH5&lt;='Tariff Inputs'!$D17,1/(1+AH26)^(AH5-1),0)</f>
        <v>0</v>
      </c>
      <c r="AI70" s="458">
        <f>IF(AI5&lt;='Tariff Inputs'!$D17,1/(1+AI26)^(AI5-1),0)</f>
        <v>0</v>
      </c>
      <c r="AJ70" s="458">
        <f>IF(AJ5&lt;='Tariff Inputs'!$D17,1/(1+AJ26)^(AJ5-1),0)</f>
        <v>0</v>
      </c>
      <c r="AK70" s="458">
        <f>IF(AK5&lt;='Tariff Inputs'!$D17,1/(1+AK26)^(AK5-1),0)</f>
        <v>0</v>
      </c>
      <c r="AL70" s="458">
        <f>IF(AL5&lt;='Tariff Inputs'!$D17,1/(1+AL26)^(AL5-1),0)</f>
        <v>0</v>
      </c>
      <c r="AM70" s="458">
        <f>IF(AM5&lt;='Tariff Inputs'!$D17,1/(1+AM26)^(AM5-1),0)</f>
        <v>0</v>
      </c>
      <c r="AN70" s="458">
        <f>IF(AN5&lt;='Tariff Inputs'!$D17,1/(1+AN26)^(AN5-1),0)</f>
        <v>0</v>
      </c>
      <c r="AO70" s="458">
        <f>IF(AO5&lt;='Tariff Inputs'!$D17,1/(1+AO26)^(AO5-1),0)</f>
        <v>0</v>
      </c>
      <c r="AP70" s="458">
        <f>IF(AP5&lt;='Tariff Inputs'!$D17,1/(1+AP26)^(AP5-1),0)</f>
        <v>0</v>
      </c>
      <c r="AQ70" s="458">
        <f>IF(AQ5&lt;='Tariff Inputs'!$D17,1/(1+AQ26)^(AQ5-1),0)</f>
        <v>0</v>
      </c>
      <c r="AR70" s="459">
        <f>IF(AR5&lt;='Tariff Inputs'!$D17,1/(1+AR26)^(AR5-1),0)</f>
        <v>0</v>
      </c>
    </row>
    <row r="71" spans="3:44" x14ac:dyDescent="0.2">
      <c r="C71" s="19" t="s">
        <v>248</v>
      </c>
      <c r="D71" s="284" t="str">
        <f>'Tariff Inputs'!I68</f>
        <v>KES</v>
      </c>
      <c r="E71" s="21">
        <f t="shared" ref="E71:AR71" si="34">E65*E70</f>
        <v>0</v>
      </c>
      <c r="F71" s="21">
        <f t="shared" si="34"/>
        <v>0</v>
      </c>
      <c r="G71" s="21">
        <f t="shared" si="34"/>
        <v>0</v>
      </c>
      <c r="H71" s="21">
        <f t="shared" si="34"/>
        <v>0</v>
      </c>
      <c r="I71" s="21">
        <f t="shared" si="34"/>
        <v>0</v>
      </c>
      <c r="J71" s="21">
        <f t="shared" si="34"/>
        <v>0</v>
      </c>
      <c r="K71" s="21">
        <f t="shared" si="34"/>
        <v>0</v>
      </c>
      <c r="L71" s="21">
        <f t="shared" si="34"/>
        <v>0</v>
      </c>
      <c r="M71" s="21">
        <f t="shared" si="34"/>
        <v>0</v>
      </c>
      <c r="N71" s="21">
        <f t="shared" si="34"/>
        <v>0</v>
      </c>
      <c r="O71" s="21">
        <f t="shared" si="34"/>
        <v>0</v>
      </c>
      <c r="P71" s="21">
        <f t="shared" si="34"/>
        <v>0</v>
      </c>
      <c r="Q71" s="21">
        <f t="shared" si="34"/>
        <v>0</v>
      </c>
      <c r="R71" s="21">
        <f t="shared" si="34"/>
        <v>0</v>
      </c>
      <c r="S71" s="21">
        <f t="shared" si="34"/>
        <v>0</v>
      </c>
      <c r="T71" s="21">
        <f t="shared" si="34"/>
        <v>0</v>
      </c>
      <c r="U71" s="21">
        <f t="shared" si="34"/>
        <v>0</v>
      </c>
      <c r="V71" s="21">
        <f t="shared" si="34"/>
        <v>0</v>
      </c>
      <c r="W71" s="21">
        <f t="shared" si="34"/>
        <v>0</v>
      </c>
      <c r="X71" s="21">
        <f t="shared" si="34"/>
        <v>0</v>
      </c>
      <c r="Y71" s="21">
        <f t="shared" si="34"/>
        <v>0</v>
      </c>
      <c r="Z71" s="21">
        <f t="shared" si="34"/>
        <v>0</v>
      </c>
      <c r="AA71" s="21">
        <f t="shared" si="34"/>
        <v>0</v>
      </c>
      <c r="AB71" s="21">
        <f t="shared" si="34"/>
        <v>0</v>
      </c>
      <c r="AC71" s="21">
        <f t="shared" si="34"/>
        <v>0</v>
      </c>
      <c r="AD71" s="21">
        <f t="shared" si="34"/>
        <v>0</v>
      </c>
      <c r="AE71" s="21">
        <f t="shared" si="34"/>
        <v>0</v>
      </c>
      <c r="AF71" s="21">
        <f t="shared" si="34"/>
        <v>0</v>
      </c>
      <c r="AG71" s="21">
        <f t="shared" si="34"/>
        <v>0</v>
      </c>
      <c r="AH71" s="21">
        <f t="shared" si="34"/>
        <v>0</v>
      </c>
      <c r="AI71" s="21">
        <f t="shared" si="34"/>
        <v>0</v>
      </c>
      <c r="AJ71" s="21">
        <f t="shared" si="34"/>
        <v>0</v>
      </c>
      <c r="AK71" s="21">
        <f t="shared" si="34"/>
        <v>0</v>
      </c>
      <c r="AL71" s="21">
        <f t="shared" si="34"/>
        <v>0</v>
      </c>
      <c r="AM71" s="21">
        <f t="shared" si="34"/>
        <v>0</v>
      </c>
      <c r="AN71" s="21">
        <f t="shared" si="34"/>
        <v>0</v>
      </c>
      <c r="AO71" s="21">
        <f t="shared" si="34"/>
        <v>0</v>
      </c>
      <c r="AP71" s="21">
        <f t="shared" si="34"/>
        <v>0</v>
      </c>
      <c r="AQ71" s="21">
        <f t="shared" si="34"/>
        <v>0</v>
      </c>
      <c r="AR71" s="22">
        <f t="shared" si="34"/>
        <v>0</v>
      </c>
    </row>
    <row r="72" spans="3:44" x14ac:dyDescent="0.2">
      <c r="C72" s="434"/>
      <c r="D72" s="112"/>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10"/>
    </row>
    <row r="73" spans="3:44" x14ac:dyDescent="0.2">
      <c r="C73" s="434"/>
      <c r="D73" s="112"/>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10"/>
    </row>
    <row r="74" spans="3:44" x14ac:dyDescent="0.2">
      <c r="C74" s="490" t="s">
        <v>514</v>
      </c>
      <c r="D74" s="112"/>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10"/>
    </row>
    <row r="75" spans="3:44" x14ac:dyDescent="0.2">
      <c r="C75" s="482" t="s">
        <v>334</v>
      </c>
      <c r="D75" s="112"/>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10"/>
    </row>
    <row r="76" spans="3:44" x14ac:dyDescent="0.2">
      <c r="C76" s="15" t="s">
        <v>333</v>
      </c>
      <c r="D76" s="479" t="e">
        <f>(IF(E5&lt;='Tariff Inputs'!$D17,SUM('Capital Costs Details'!J133:J141),0)+(SUM('Capital Costs Details'!L133:L141)*E10))/('Tariff Calculator'!E14+'Tariff Calculator'!E15)</f>
        <v>#DIV/0!</v>
      </c>
      <c r="E76" s="17" t="e">
        <f>$D76*(E14+E15)</f>
        <v>#DIV/0!</v>
      </c>
      <c r="F76" s="17" t="e">
        <f t="shared" ref="F76:AR76" si="35">$D76*(F14+F15)</f>
        <v>#DIV/0!</v>
      </c>
      <c r="G76" s="17" t="e">
        <f t="shared" si="35"/>
        <v>#DIV/0!</v>
      </c>
      <c r="H76" s="17" t="e">
        <f t="shared" si="35"/>
        <v>#DIV/0!</v>
      </c>
      <c r="I76" s="17" t="e">
        <f t="shared" si="35"/>
        <v>#DIV/0!</v>
      </c>
      <c r="J76" s="17" t="e">
        <f t="shared" si="35"/>
        <v>#DIV/0!</v>
      </c>
      <c r="K76" s="17" t="e">
        <f t="shared" si="35"/>
        <v>#DIV/0!</v>
      </c>
      <c r="L76" s="17" t="e">
        <f t="shared" si="35"/>
        <v>#DIV/0!</v>
      </c>
      <c r="M76" s="17" t="e">
        <f t="shared" si="35"/>
        <v>#DIV/0!</v>
      </c>
      <c r="N76" s="17" t="e">
        <f t="shared" si="35"/>
        <v>#DIV/0!</v>
      </c>
      <c r="O76" s="17" t="e">
        <f t="shared" si="35"/>
        <v>#DIV/0!</v>
      </c>
      <c r="P76" s="17" t="e">
        <f t="shared" si="35"/>
        <v>#DIV/0!</v>
      </c>
      <c r="Q76" s="17" t="e">
        <f t="shared" si="35"/>
        <v>#DIV/0!</v>
      </c>
      <c r="R76" s="17" t="e">
        <f t="shared" si="35"/>
        <v>#DIV/0!</v>
      </c>
      <c r="S76" s="17" t="e">
        <f t="shared" si="35"/>
        <v>#DIV/0!</v>
      </c>
      <c r="T76" s="17" t="e">
        <f t="shared" si="35"/>
        <v>#DIV/0!</v>
      </c>
      <c r="U76" s="17" t="e">
        <f t="shared" si="35"/>
        <v>#DIV/0!</v>
      </c>
      <c r="V76" s="17" t="e">
        <f t="shared" si="35"/>
        <v>#DIV/0!</v>
      </c>
      <c r="W76" s="17" t="e">
        <f t="shared" si="35"/>
        <v>#DIV/0!</v>
      </c>
      <c r="X76" s="17" t="e">
        <f t="shared" si="35"/>
        <v>#DIV/0!</v>
      </c>
      <c r="Y76" s="17" t="e">
        <f t="shared" si="35"/>
        <v>#DIV/0!</v>
      </c>
      <c r="Z76" s="17" t="e">
        <f t="shared" si="35"/>
        <v>#DIV/0!</v>
      </c>
      <c r="AA76" s="17" t="e">
        <f t="shared" si="35"/>
        <v>#DIV/0!</v>
      </c>
      <c r="AB76" s="17" t="e">
        <f t="shared" si="35"/>
        <v>#DIV/0!</v>
      </c>
      <c r="AC76" s="17" t="e">
        <f t="shared" si="35"/>
        <v>#DIV/0!</v>
      </c>
      <c r="AD76" s="17" t="e">
        <f t="shared" si="35"/>
        <v>#DIV/0!</v>
      </c>
      <c r="AE76" s="17" t="e">
        <f t="shared" si="35"/>
        <v>#DIV/0!</v>
      </c>
      <c r="AF76" s="17" t="e">
        <f t="shared" si="35"/>
        <v>#DIV/0!</v>
      </c>
      <c r="AG76" s="17" t="e">
        <f t="shared" si="35"/>
        <v>#DIV/0!</v>
      </c>
      <c r="AH76" s="17" t="e">
        <f t="shared" si="35"/>
        <v>#DIV/0!</v>
      </c>
      <c r="AI76" s="17" t="e">
        <f t="shared" si="35"/>
        <v>#DIV/0!</v>
      </c>
      <c r="AJ76" s="17" t="e">
        <f t="shared" si="35"/>
        <v>#DIV/0!</v>
      </c>
      <c r="AK76" s="17" t="e">
        <f t="shared" si="35"/>
        <v>#DIV/0!</v>
      </c>
      <c r="AL76" s="17" t="e">
        <f t="shared" si="35"/>
        <v>#DIV/0!</v>
      </c>
      <c r="AM76" s="17" t="e">
        <f t="shared" si="35"/>
        <v>#DIV/0!</v>
      </c>
      <c r="AN76" s="17" t="e">
        <f t="shared" si="35"/>
        <v>#DIV/0!</v>
      </c>
      <c r="AO76" s="17" t="e">
        <f t="shared" si="35"/>
        <v>#DIV/0!</v>
      </c>
      <c r="AP76" s="17" t="e">
        <f t="shared" si="35"/>
        <v>#DIV/0!</v>
      </c>
      <c r="AQ76" s="17" t="e">
        <f t="shared" si="35"/>
        <v>#DIV/0!</v>
      </c>
      <c r="AR76" s="18" t="e">
        <f t="shared" si="35"/>
        <v>#DIV/0!</v>
      </c>
    </row>
    <row r="77" spans="3:44" x14ac:dyDescent="0.2">
      <c r="C77" s="434" t="s">
        <v>583</v>
      </c>
      <c r="D77" s="480" t="e">
        <f>D76</f>
        <v>#DIV/0!</v>
      </c>
      <c r="E77" s="104" t="e">
        <f>$D77*(-'Loan Repayment'!E19)</f>
        <v>#DIV/0!</v>
      </c>
      <c r="F77" s="104" t="e">
        <f>$D77*(-'Loan Repayment'!F19)</f>
        <v>#DIV/0!</v>
      </c>
      <c r="G77" s="104" t="e">
        <f>$D77*(-'Loan Repayment'!G19)</f>
        <v>#DIV/0!</v>
      </c>
      <c r="H77" s="104" t="e">
        <f>$D77*(-'Loan Repayment'!H19)</f>
        <v>#DIV/0!</v>
      </c>
      <c r="I77" s="104" t="e">
        <f>$D77*(-'Loan Repayment'!I19)</f>
        <v>#DIV/0!</v>
      </c>
      <c r="J77" s="104" t="e">
        <f>$D77*(-'Loan Repayment'!J19)</f>
        <v>#DIV/0!</v>
      </c>
      <c r="K77" s="104" t="e">
        <f>$D77*(-'Loan Repayment'!K19)</f>
        <v>#DIV/0!</v>
      </c>
      <c r="L77" s="104" t="e">
        <f>$D77*(-'Loan Repayment'!L19)</f>
        <v>#DIV/0!</v>
      </c>
      <c r="M77" s="104" t="e">
        <f>$D77*(-'Loan Repayment'!M19)</f>
        <v>#DIV/0!</v>
      </c>
      <c r="N77" s="104" t="e">
        <f>$D77*(-'Loan Repayment'!N19)</f>
        <v>#DIV/0!</v>
      </c>
      <c r="O77" s="104" t="e">
        <f>$D77*(-'Loan Repayment'!O19)</f>
        <v>#DIV/0!</v>
      </c>
      <c r="P77" s="104" t="e">
        <f>$D77*(-'Loan Repayment'!P19)</f>
        <v>#DIV/0!</v>
      </c>
      <c r="Q77" s="104" t="e">
        <f>$D77*(-'Loan Repayment'!Q19)</f>
        <v>#DIV/0!</v>
      </c>
      <c r="R77" s="104" t="e">
        <f>$D77*(-'Loan Repayment'!R19)</f>
        <v>#DIV/0!</v>
      </c>
      <c r="S77" s="104" t="e">
        <f>$D77*(-'Loan Repayment'!S19)</f>
        <v>#DIV/0!</v>
      </c>
      <c r="T77" s="104" t="e">
        <f>$D77*(-'Loan Repayment'!T19)</f>
        <v>#DIV/0!</v>
      </c>
      <c r="U77" s="104" t="e">
        <f>$D77*(-'Loan Repayment'!U19)</f>
        <v>#DIV/0!</v>
      </c>
      <c r="V77" s="104" t="e">
        <f>$D77*(-'Loan Repayment'!V19)</f>
        <v>#DIV/0!</v>
      </c>
      <c r="W77" s="104" t="e">
        <f>$D77*(-'Loan Repayment'!W19)</f>
        <v>#DIV/0!</v>
      </c>
      <c r="X77" s="104" t="e">
        <f>$D77*(-'Loan Repayment'!X19)</f>
        <v>#DIV/0!</v>
      </c>
      <c r="Y77" s="104" t="e">
        <f>$D77*(-'Loan Repayment'!Y19)</f>
        <v>#DIV/0!</v>
      </c>
      <c r="Z77" s="104" t="e">
        <f>$D77*(-'Loan Repayment'!Z19)</f>
        <v>#DIV/0!</v>
      </c>
      <c r="AA77" s="104" t="e">
        <f>$D77*(-'Loan Repayment'!AA19)</f>
        <v>#DIV/0!</v>
      </c>
      <c r="AB77" s="104" t="e">
        <f>$D77*(-'Loan Repayment'!AB19)</f>
        <v>#DIV/0!</v>
      </c>
      <c r="AC77" s="104" t="e">
        <f>$D77*(-'Loan Repayment'!AC19)</f>
        <v>#DIV/0!</v>
      </c>
      <c r="AD77" s="104" t="e">
        <f>$D77*(-'Loan Repayment'!AD19)</f>
        <v>#DIV/0!</v>
      </c>
      <c r="AE77" s="104" t="e">
        <f>$D77*(-'Loan Repayment'!AE19)</f>
        <v>#DIV/0!</v>
      </c>
      <c r="AF77" s="104" t="e">
        <f>$D77*(-'Loan Repayment'!AF19)</f>
        <v>#DIV/0!</v>
      </c>
      <c r="AG77" s="104" t="e">
        <f>$D77*(-'Loan Repayment'!AG19)</f>
        <v>#DIV/0!</v>
      </c>
      <c r="AH77" s="104" t="e">
        <f>$D77*(-'Loan Repayment'!AH19)</f>
        <v>#DIV/0!</v>
      </c>
      <c r="AI77" s="104" t="e">
        <f>$D77*(-'Loan Repayment'!AI19)</f>
        <v>#DIV/0!</v>
      </c>
      <c r="AJ77" s="104" t="e">
        <f>$D77*(-'Loan Repayment'!AJ19)</f>
        <v>#DIV/0!</v>
      </c>
      <c r="AK77" s="104" t="e">
        <f>$D77*(-'Loan Repayment'!AK19)</f>
        <v>#DIV/0!</v>
      </c>
      <c r="AL77" s="104" t="e">
        <f>$D77*(-'Loan Repayment'!AL19)</f>
        <v>#DIV/0!</v>
      </c>
      <c r="AM77" s="104" t="e">
        <f>$D77*(-'Loan Repayment'!AM19)</f>
        <v>#DIV/0!</v>
      </c>
      <c r="AN77" s="104" t="e">
        <f>$D77*(-'Loan Repayment'!AN19)</f>
        <v>#DIV/0!</v>
      </c>
      <c r="AO77" s="104" t="e">
        <f>$D77*(-'Loan Repayment'!AO19)</f>
        <v>#DIV/0!</v>
      </c>
      <c r="AP77" s="104" t="e">
        <f>$D77*(-'Loan Repayment'!AP19)</f>
        <v>#DIV/0!</v>
      </c>
      <c r="AQ77" s="104" t="e">
        <f>$D77*(-'Loan Repayment'!AQ19)</f>
        <v>#DIV/0!</v>
      </c>
      <c r="AR77" s="110" t="e">
        <f>$D77*(-'Loan Repayment'!AR19)</f>
        <v>#DIV/0!</v>
      </c>
    </row>
    <row r="78" spans="3:44" x14ac:dyDescent="0.2">
      <c r="C78" s="434" t="s">
        <v>268</v>
      </c>
      <c r="D78" s="480">
        <f>IF('Tariff Inputs'!D52&gt;0,('Tariff Inputs'!D32+'Tariff Inputs'!D43+'Tariff Inputs'!D44+'Tariff Inputs'!D50)/'Tariff Inputs'!D52,0)</f>
        <v>0</v>
      </c>
      <c r="E78" s="104">
        <f t="shared" ref="E78:AR78" si="36">$D78*(E16)</f>
        <v>0</v>
      </c>
      <c r="F78" s="104">
        <f t="shared" si="36"/>
        <v>0</v>
      </c>
      <c r="G78" s="104">
        <f t="shared" si="36"/>
        <v>0</v>
      </c>
      <c r="H78" s="104">
        <f t="shared" si="36"/>
        <v>0</v>
      </c>
      <c r="I78" s="104">
        <f t="shared" si="36"/>
        <v>0</v>
      </c>
      <c r="J78" s="104">
        <f t="shared" si="36"/>
        <v>0</v>
      </c>
      <c r="K78" s="104">
        <f t="shared" si="36"/>
        <v>0</v>
      </c>
      <c r="L78" s="104">
        <f t="shared" si="36"/>
        <v>0</v>
      </c>
      <c r="M78" s="104">
        <f t="shared" si="36"/>
        <v>0</v>
      </c>
      <c r="N78" s="104">
        <f t="shared" si="36"/>
        <v>0</v>
      </c>
      <c r="O78" s="104">
        <f t="shared" si="36"/>
        <v>0</v>
      </c>
      <c r="P78" s="104">
        <f t="shared" si="36"/>
        <v>0</v>
      </c>
      <c r="Q78" s="104">
        <f t="shared" si="36"/>
        <v>0</v>
      </c>
      <c r="R78" s="104">
        <f t="shared" si="36"/>
        <v>0</v>
      </c>
      <c r="S78" s="104">
        <f t="shared" si="36"/>
        <v>0</v>
      </c>
      <c r="T78" s="104">
        <f t="shared" si="36"/>
        <v>0</v>
      </c>
      <c r="U78" s="104">
        <f t="shared" si="36"/>
        <v>0</v>
      </c>
      <c r="V78" s="104">
        <f t="shared" si="36"/>
        <v>0</v>
      </c>
      <c r="W78" s="104">
        <f t="shared" si="36"/>
        <v>0</v>
      </c>
      <c r="X78" s="104">
        <f t="shared" si="36"/>
        <v>0</v>
      </c>
      <c r="Y78" s="104">
        <f t="shared" si="36"/>
        <v>0</v>
      </c>
      <c r="Z78" s="104">
        <f t="shared" si="36"/>
        <v>0</v>
      </c>
      <c r="AA78" s="104">
        <f t="shared" si="36"/>
        <v>0</v>
      </c>
      <c r="AB78" s="104">
        <f t="shared" si="36"/>
        <v>0</v>
      </c>
      <c r="AC78" s="104">
        <f t="shared" si="36"/>
        <v>0</v>
      </c>
      <c r="AD78" s="104">
        <f t="shared" si="36"/>
        <v>0</v>
      </c>
      <c r="AE78" s="104">
        <f t="shared" si="36"/>
        <v>0</v>
      </c>
      <c r="AF78" s="104">
        <f t="shared" si="36"/>
        <v>0</v>
      </c>
      <c r="AG78" s="104">
        <f t="shared" si="36"/>
        <v>0</v>
      </c>
      <c r="AH78" s="104">
        <f t="shared" si="36"/>
        <v>0</v>
      </c>
      <c r="AI78" s="104">
        <f t="shared" si="36"/>
        <v>0</v>
      </c>
      <c r="AJ78" s="104">
        <f t="shared" si="36"/>
        <v>0</v>
      </c>
      <c r="AK78" s="104">
        <f t="shared" si="36"/>
        <v>0</v>
      </c>
      <c r="AL78" s="104">
        <f t="shared" si="36"/>
        <v>0</v>
      </c>
      <c r="AM78" s="104">
        <f t="shared" si="36"/>
        <v>0</v>
      </c>
      <c r="AN78" s="104">
        <f t="shared" si="36"/>
        <v>0</v>
      </c>
      <c r="AO78" s="104">
        <f t="shared" si="36"/>
        <v>0</v>
      </c>
      <c r="AP78" s="104">
        <f t="shared" si="36"/>
        <v>0</v>
      </c>
      <c r="AQ78" s="104">
        <f t="shared" si="36"/>
        <v>0</v>
      </c>
      <c r="AR78" s="110">
        <f t="shared" si="36"/>
        <v>0</v>
      </c>
    </row>
    <row r="79" spans="3:44" x14ac:dyDescent="0.2">
      <c r="C79" s="434" t="s">
        <v>269</v>
      </c>
      <c r="D79" s="12"/>
      <c r="E79" s="104" t="e">
        <f t="shared" ref="E79:AR79" si="37">SUM(E76:E78)</f>
        <v>#DIV/0!</v>
      </c>
      <c r="F79" s="104" t="e">
        <f t="shared" si="37"/>
        <v>#DIV/0!</v>
      </c>
      <c r="G79" s="104" t="e">
        <f t="shared" si="37"/>
        <v>#DIV/0!</v>
      </c>
      <c r="H79" s="104" t="e">
        <f t="shared" si="37"/>
        <v>#DIV/0!</v>
      </c>
      <c r="I79" s="104" t="e">
        <f t="shared" si="37"/>
        <v>#DIV/0!</v>
      </c>
      <c r="J79" s="104" t="e">
        <f t="shared" si="37"/>
        <v>#DIV/0!</v>
      </c>
      <c r="K79" s="104" t="e">
        <f t="shared" si="37"/>
        <v>#DIV/0!</v>
      </c>
      <c r="L79" s="104" t="e">
        <f t="shared" si="37"/>
        <v>#DIV/0!</v>
      </c>
      <c r="M79" s="104" t="e">
        <f t="shared" si="37"/>
        <v>#DIV/0!</v>
      </c>
      <c r="N79" s="104" t="e">
        <f t="shared" si="37"/>
        <v>#DIV/0!</v>
      </c>
      <c r="O79" s="104" t="e">
        <f t="shared" si="37"/>
        <v>#DIV/0!</v>
      </c>
      <c r="P79" s="104" t="e">
        <f t="shared" si="37"/>
        <v>#DIV/0!</v>
      </c>
      <c r="Q79" s="104" t="e">
        <f t="shared" si="37"/>
        <v>#DIV/0!</v>
      </c>
      <c r="R79" s="104" t="e">
        <f t="shared" si="37"/>
        <v>#DIV/0!</v>
      </c>
      <c r="S79" s="104" t="e">
        <f t="shared" si="37"/>
        <v>#DIV/0!</v>
      </c>
      <c r="T79" s="104" t="e">
        <f t="shared" si="37"/>
        <v>#DIV/0!</v>
      </c>
      <c r="U79" s="104" t="e">
        <f t="shared" si="37"/>
        <v>#DIV/0!</v>
      </c>
      <c r="V79" s="104" t="e">
        <f t="shared" si="37"/>
        <v>#DIV/0!</v>
      </c>
      <c r="W79" s="104" t="e">
        <f t="shared" si="37"/>
        <v>#DIV/0!</v>
      </c>
      <c r="X79" s="104" t="e">
        <f t="shared" si="37"/>
        <v>#DIV/0!</v>
      </c>
      <c r="Y79" s="104" t="e">
        <f t="shared" si="37"/>
        <v>#DIV/0!</v>
      </c>
      <c r="Z79" s="104" t="e">
        <f t="shared" si="37"/>
        <v>#DIV/0!</v>
      </c>
      <c r="AA79" s="104" t="e">
        <f t="shared" si="37"/>
        <v>#DIV/0!</v>
      </c>
      <c r="AB79" s="104" t="e">
        <f t="shared" si="37"/>
        <v>#DIV/0!</v>
      </c>
      <c r="AC79" s="104" t="e">
        <f t="shared" si="37"/>
        <v>#DIV/0!</v>
      </c>
      <c r="AD79" s="104" t="e">
        <f t="shared" si="37"/>
        <v>#DIV/0!</v>
      </c>
      <c r="AE79" s="104" t="e">
        <f t="shared" si="37"/>
        <v>#DIV/0!</v>
      </c>
      <c r="AF79" s="104" t="e">
        <f t="shared" si="37"/>
        <v>#DIV/0!</v>
      </c>
      <c r="AG79" s="104" t="e">
        <f t="shared" si="37"/>
        <v>#DIV/0!</v>
      </c>
      <c r="AH79" s="104" t="e">
        <f t="shared" si="37"/>
        <v>#DIV/0!</v>
      </c>
      <c r="AI79" s="104" t="e">
        <f t="shared" si="37"/>
        <v>#DIV/0!</v>
      </c>
      <c r="AJ79" s="104" t="e">
        <f t="shared" si="37"/>
        <v>#DIV/0!</v>
      </c>
      <c r="AK79" s="104" t="e">
        <f t="shared" si="37"/>
        <v>#DIV/0!</v>
      </c>
      <c r="AL79" s="104" t="e">
        <f t="shared" si="37"/>
        <v>#DIV/0!</v>
      </c>
      <c r="AM79" s="104" t="e">
        <f t="shared" si="37"/>
        <v>#DIV/0!</v>
      </c>
      <c r="AN79" s="104" t="e">
        <f t="shared" si="37"/>
        <v>#DIV/0!</v>
      </c>
      <c r="AO79" s="104" t="e">
        <f t="shared" si="37"/>
        <v>#DIV/0!</v>
      </c>
      <c r="AP79" s="104" t="e">
        <f t="shared" si="37"/>
        <v>#DIV/0!</v>
      </c>
      <c r="AQ79" s="104" t="e">
        <f t="shared" si="37"/>
        <v>#DIV/0!</v>
      </c>
      <c r="AR79" s="110" t="e">
        <f t="shared" si="37"/>
        <v>#DIV/0!</v>
      </c>
    </row>
    <row r="80" spans="3:44" x14ac:dyDescent="0.2">
      <c r="C80" s="19" t="s">
        <v>240</v>
      </c>
      <c r="D80" s="12"/>
      <c r="E80" s="477">
        <f>IF(E5&lt;='Tariff Inputs'!$D17,1/(1+E26)^(E5-1),0)</f>
        <v>1</v>
      </c>
      <c r="F80" s="477">
        <f>IF(F5&lt;='Tariff Inputs'!$D17,1/(1+F26)^(F5-1),0)</f>
        <v>1</v>
      </c>
      <c r="G80" s="477">
        <f>IF(G5&lt;='Tariff Inputs'!$D17,1/(1+G26)^(G5-1),0)</f>
        <v>1</v>
      </c>
      <c r="H80" s="477">
        <f>IF(H5&lt;='Tariff Inputs'!$D17,1/(1+H26)^(H5-1),0)</f>
        <v>1</v>
      </c>
      <c r="I80" s="477">
        <f>IF(I5&lt;='Tariff Inputs'!$D17,1/(1+I26)^(I5-1),0)</f>
        <v>1</v>
      </c>
      <c r="J80" s="477">
        <f>IF(J5&lt;='Tariff Inputs'!$D17,1/(1+J26)^(J5-1),0)</f>
        <v>1</v>
      </c>
      <c r="K80" s="477">
        <f>IF(K5&lt;='Tariff Inputs'!$D17,1/(1+K26)^(K5-1),0)</f>
        <v>1</v>
      </c>
      <c r="L80" s="477">
        <f>IF(L5&lt;='Tariff Inputs'!$D17,1/(1+L26)^(L5-1),0)</f>
        <v>1</v>
      </c>
      <c r="M80" s="477">
        <f>IF(M5&lt;='Tariff Inputs'!$D17,1/(1+M26)^(M5-1),0)</f>
        <v>1</v>
      </c>
      <c r="N80" s="477">
        <f>IF(N5&lt;='Tariff Inputs'!$D17,1/(1+N26)^(N5-1),0)</f>
        <v>1</v>
      </c>
      <c r="O80" s="477">
        <f>IF(O5&lt;='Tariff Inputs'!$D17,1/(1+O26)^(O5-1),0)</f>
        <v>1</v>
      </c>
      <c r="P80" s="477">
        <f>IF(P5&lt;='Tariff Inputs'!$D17,1/(1+P26)^(P5-1),0)</f>
        <v>1</v>
      </c>
      <c r="Q80" s="477">
        <f>IF(Q5&lt;='Tariff Inputs'!$D17,1/(1+Q26)^(Q5-1),0)</f>
        <v>1</v>
      </c>
      <c r="R80" s="477">
        <f>IF(R5&lt;='Tariff Inputs'!$D17,1/(1+R26)^(R5-1),0)</f>
        <v>1</v>
      </c>
      <c r="S80" s="477">
        <f>IF(S5&lt;='Tariff Inputs'!$D17,1/(1+S26)^(S5-1),0)</f>
        <v>1</v>
      </c>
      <c r="T80" s="477">
        <f>IF(T5&lt;='Tariff Inputs'!$D17,1/(1+T26)^(T5-1),0)</f>
        <v>1</v>
      </c>
      <c r="U80" s="477">
        <f>IF(U5&lt;='Tariff Inputs'!$D17,1/(1+U26)^(U5-1),0)</f>
        <v>1</v>
      </c>
      <c r="V80" s="477">
        <f>IF(V5&lt;='Tariff Inputs'!$D17,1/(1+V26)^(V5-1),0)</f>
        <v>1</v>
      </c>
      <c r="W80" s="477">
        <f>IF(W5&lt;='Tariff Inputs'!$D17,1/(1+W26)^(W5-1),0)</f>
        <v>1</v>
      </c>
      <c r="X80" s="477">
        <f>IF(X5&lt;='Tariff Inputs'!$D17,1/(1+X26)^(X5-1),0)</f>
        <v>1</v>
      </c>
      <c r="Y80" s="477">
        <f>IF(Y5&lt;='Tariff Inputs'!$D17,1/(1+Y26)^(Y5-1),0)</f>
        <v>1</v>
      </c>
      <c r="Z80" s="477">
        <f>IF(Z5&lt;='Tariff Inputs'!$D17,1/(1+Z26)^(Z5-1),0)</f>
        <v>1</v>
      </c>
      <c r="AA80" s="477">
        <f>IF(AA5&lt;='Tariff Inputs'!$D17,1/(1+AA26)^(AA5-1),0)</f>
        <v>1</v>
      </c>
      <c r="AB80" s="477">
        <f>IF(AB5&lt;='Tariff Inputs'!$D17,1/(1+AB26)^(AB5-1),0)</f>
        <v>1</v>
      </c>
      <c r="AC80" s="477">
        <f>IF(AC5&lt;='Tariff Inputs'!$D17,1/(1+AC26)^(AC5-1),0)</f>
        <v>1</v>
      </c>
      <c r="AD80" s="477">
        <f>IF(AD5&lt;='Tariff Inputs'!$D17,1/(1+AD26)^(AD5-1),0)</f>
        <v>0</v>
      </c>
      <c r="AE80" s="477">
        <f>IF(AE5&lt;='Tariff Inputs'!$D17,1/(1+AE26)^(AE5-1),0)</f>
        <v>0</v>
      </c>
      <c r="AF80" s="477">
        <f>IF(AF5&lt;='Tariff Inputs'!$D17,1/(1+AF26)^(AF5-1),0)</f>
        <v>0</v>
      </c>
      <c r="AG80" s="477">
        <f>IF(AG5&lt;='Tariff Inputs'!$D17,1/(1+AG26)^(AG5-1),0)</f>
        <v>0</v>
      </c>
      <c r="AH80" s="477">
        <f>IF(AH5&lt;='Tariff Inputs'!$D17,1/(1+AH26)^(AH5-1),0)</f>
        <v>0</v>
      </c>
      <c r="AI80" s="477">
        <f>IF(AI5&lt;='Tariff Inputs'!$D17,1/(1+AI26)^(AI5-1),0)</f>
        <v>0</v>
      </c>
      <c r="AJ80" s="477">
        <f>IF(AJ5&lt;='Tariff Inputs'!$D17,1/(1+AJ26)^(AJ5-1),0)</f>
        <v>0</v>
      </c>
      <c r="AK80" s="477">
        <f>IF(AK5&lt;='Tariff Inputs'!$D17,1/(1+AK26)^(AK5-1),0)</f>
        <v>0</v>
      </c>
      <c r="AL80" s="477">
        <f>IF(AL5&lt;='Tariff Inputs'!$D17,1/(1+AL26)^(AL5-1),0)</f>
        <v>0</v>
      </c>
      <c r="AM80" s="477">
        <f>IF(AM5&lt;='Tariff Inputs'!$D17,1/(1+AM26)^(AM5-1),0)</f>
        <v>0</v>
      </c>
      <c r="AN80" s="477">
        <f>IF(AN5&lt;='Tariff Inputs'!$D17,1/(1+AN26)^(AN5-1),0)</f>
        <v>0</v>
      </c>
      <c r="AO80" s="477">
        <f>IF(AO5&lt;='Tariff Inputs'!$D17,1/(1+AO26)^(AO5-1),0)</f>
        <v>0</v>
      </c>
      <c r="AP80" s="477">
        <f>IF(AP5&lt;='Tariff Inputs'!$D17,1/(1+AP26)^(AP5-1),0)</f>
        <v>0</v>
      </c>
      <c r="AQ80" s="477">
        <f>IF(AQ5&lt;='Tariff Inputs'!$D17,1/(1+AQ26)^(AQ5-1),0)</f>
        <v>0</v>
      </c>
      <c r="AR80" s="478">
        <f>IF(AR5&lt;='Tariff Inputs'!$D17,1/(1+AR26)^(AR5-1),0)</f>
        <v>0</v>
      </c>
    </row>
    <row r="81" spans="1:188" x14ac:dyDescent="0.2">
      <c r="C81" s="483" t="s">
        <v>449</v>
      </c>
      <c r="D81" s="484" t="str">
        <f>D41</f>
        <v>KES/kWh</v>
      </c>
      <c r="E81" s="485" t="e">
        <f>E79/E10</f>
        <v>#DIV/0!</v>
      </c>
      <c r="F81" s="485" t="e">
        <f t="shared" ref="F81:AR81" si="38">F79/F10</f>
        <v>#DIV/0!</v>
      </c>
      <c r="G81" s="485" t="e">
        <f t="shared" si="38"/>
        <v>#DIV/0!</v>
      </c>
      <c r="H81" s="485" t="e">
        <f t="shared" si="38"/>
        <v>#DIV/0!</v>
      </c>
      <c r="I81" s="485" t="e">
        <f t="shared" si="38"/>
        <v>#DIV/0!</v>
      </c>
      <c r="J81" s="485" t="e">
        <f t="shared" si="38"/>
        <v>#DIV/0!</v>
      </c>
      <c r="K81" s="485" t="e">
        <f t="shared" si="38"/>
        <v>#DIV/0!</v>
      </c>
      <c r="L81" s="485" t="e">
        <f t="shared" si="38"/>
        <v>#DIV/0!</v>
      </c>
      <c r="M81" s="485" t="e">
        <f t="shared" si="38"/>
        <v>#DIV/0!</v>
      </c>
      <c r="N81" s="485" t="e">
        <f t="shared" si="38"/>
        <v>#DIV/0!</v>
      </c>
      <c r="O81" s="485" t="e">
        <f t="shared" si="38"/>
        <v>#DIV/0!</v>
      </c>
      <c r="P81" s="485" t="e">
        <f t="shared" si="38"/>
        <v>#DIV/0!</v>
      </c>
      <c r="Q81" s="485" t="e">
        <f t="shared" si="38"/>
        <v>#DIV/0!</v>
      </c>
      <c r="R81" s="485" t="e">
        <f t="shared" si="38"/>
        <v>#DIV/0!</v>
      </c>
      <c r="S81" s="485" t="e">
        <f t="shared" si="38"/>
        <v>#DIV/0!</v>
      </c>
      <c r="T81" s="485" t="e">
        <f t="shared" si="38"/>
        <v>#DIV/0!</v>
      </c>
      <c r="U81" s="485" t="e">
        <f t="shared" si="38"/>
        <v>#DIV/0!</v>
      </c>
      <c r="V81" s="485" t="e">
        <f t="shared" si="38"/>
        <v>#DIV/0!</v>
      </c>
      <c r="W81" s="485" t="e">
        <f t="shared" si="38"/>
        <v>#DIV/0!</v>
      </c>
      <c r="X81" s="485" t="e">
        <f t="shared" si="38"/>
        <v>#DIV/0!</v>
      </c>
      <c r="Y81" s="485" t="e">
        <f t="shared" si="38"/>
        <v>#DIV/0!</v>
      </c>
      <c r="Z81" s="485" t="e">
        <f t="shared" si="38"/>
        <v>#DIV/0!</v>
      </c>
      <c r="AA81" s="485" t="e">
        <f t="shared" si="38"/>
        <v>#DIV/0!</v>
      </c>
      <c r="AB81" s="485" t="e">
        <f t="shared" si="38"/>
        <v>#DIV/0!</v>
      </c>
      <c r="AC81" s="485" t="e">
        <f t="shared" si="38"/>
        <v>#DIV/0!</v>
      </c>
      <c r="AD81" s="485" t="e">
        <f t="shared" si="38"/>
        <v>#DIV/0!</v>
      </c>
      <c r="AE81" s="485" t="e">
        <f t="shared" si="38"/>
        <v>#DIV/0!</v>
      </c>
      <c r="AF81" s="485" t="e">
        <f t="shared" si="38"/>
        <v>#DIV/0!</v>
      </c>
      <c r="AG81" s="485" t="e">
        <f t="shared" si="38"/>
        <v>#DIV/0!</v>
      </c>
      <c r="AH81" s="485" t="e">
        <f t="shared" si="38"/>
        <v>#DIV/0!</v>
      </c>
      <c r="AI81" s="485" t="e">
        <f t="shared" si="38"/>
        <v>#DIV/0!</v>
      </c>
      <c r="AJ81" s="485" t="e">
        <f t="shared" si="38"/>
        <v>#DIV/0!</v>
      </c>
      <c r="AK81" s="485" t="e">
        <f t="shared" si="38"/>
        <v>#DIV/0!</v>
      </c>
      <c r="AL81" s="485" t="e">
        <f t="shared" si="38"/>
        <v>#DIV/0!</v>
      </c>
      <c r="AM81" s="485" t="e">
        <f t="shared" si="38"/>
        <v>#DIV/0!</v>
      </c>
      <c r="AN81" s="485" t="e">
        <f t="shared" si="38"/>
        <v>#DIV/0!</v>
      </c>
      <c r="AO81" s="485" t="e">
        <f t="shared" si="38"/>
        <v>#DIV/0!</v>
      </c>
      <c r="AP81" s="485" t="e">
        <f t="shared" si="38"/>
        <v>#DIV/0!</v>
      </c>
      <c r="AQ81" s="485" t="e">
        <f t="shared" si="38"/>
        <v>#DIV/0!</v>
      </c>
      <c r="AR81" s="485" t="e">
        <f t="shared" si="38"/>
        <v>#DIV/0!</v>
      </c>
    </row>
    <row r="82" spans="1:188" x14ac:dyDescent="0.2">
      <c r="C82" s="486" t="s">
        <v>271</v>
      </c>
      <c r="D82" s="487" t="str">
        <f>D33</f>
        <v>KES</v>
      </c>
      <c r="E82" s="488" t="e">
        <f>E81*E10</f>
        <v>#DIV/0!</v>
      </c>
      <c r="F82" s="488" t="e">
        <f>F81*F10</f>
        <v>#DIV/0!</v>
      </c>
      <c r="G82" s="488" t="e">
        <f t="shared" ref="G82:AR82" si="39">G81*G10</f>
        <v>#DIV/0!</v>
      </c>
      <c r="H82" s="488" t="e">
        <f t="shared" si="39"/>
        <v>#DIV/0!</v>
      </c>
      <c r="I82" s="488" t="e">
        <f t="shared" si="39"/>
        <v>#DIV/0!</v>
      </c>
      <c r="J82" s="488" t="e">
        <f t="shared" si="39"/>
        <v>#DIV/0!</v>
      </c>
      <c r="K82" s="488" t="e">
        <f t="shared" si="39"/>
        <v>#DIV/0!</v>
      </c>
      <c r="L82" s="488" t="e">
        <f t="shared" si="39"/>
        <v>#DIV/0!</v>
      </c>
      <c r="M82" s="488" t="e">
        <f t="shared" si="39"/>
        <v>#DIV/0!</v>
      </c>
      <c r="N82" s="488" t="e">
        <f t="shared" si="39"/>
        <v>#DIV/0!</v>
      </c>
      <c r="O82" s="488" t="e">
        <f t="shared" si="39"/>
        <v>#DIV/0!</v>
      </c>
      <c r="P82" s="488" t="e">
        <f t="shared" si="39"/>
        <v>#DIV/0!</v>
      </c>
      <c r="Q82" s="488" t="e">
        <f t="shared" si="39"/>
        <v>#DIV/0!</v>
      </c>
      <c r="R82" s="488" t="e">
        <f t="shared" si="39"/>
        <v>#DIV/0!</v>
      </c>
      <c r="S82" s="488" t="e">
        <f t="shared" si="39"/>
        <v>#DIV/0!</v>
      </c>
      <c r="T82" s="488" t="e">
        <f t="shared" si="39"/>
        <v>#DIV/0!</v>
      </c>
      <c r="U82" s="488" t="e">
        <f t="shared" si="39"/>
        <v>#DIV/0!</v>
      </c>
      <c r="V82" s="488" t="e">
        <f t="shared" si="39"/>
        <v>#DIV/0!</v>
      </c>
      <c r="W82" s="488" t="e">
        <f t="shared" si="39"/>
        <v>#DIV/0!</v>
      </c>
      <c r="X82" s="488" t="e">
        <f t="shared" si="39"/>
        <v>#DIV/0!</v>
      </c>
      <c r="Y82" s="488" t="e">
        <f t="shared" si="39"/>
        <v>#DIV/0!</v>
      </c>
      <c r="Z82" s="488" t="e">
        <f t="shared" si="39"/>
        <v>#DIV/0!</v>
      </c>
      <c r="AA82" s="488" t="e">
        <f t="shared" si="39"/>
        <v>#DIV/0!</v>
      </c>
      <c r="AB82" s="488" t="e">
        <f t="shared" si="39"/>
        <v>#DIV/0!</v>
      </c>
      <c r="AC82" s="488" t="e">
        <f t="shared" si="39"/>
        <v>#DIV/0!</v>
      </c>
      <c r="AD82" s="488" t="e">
        <f t="shared" si="39"/>
        <v>#DIV/0!</v>
      </c>
      <c r="AE82" s="488" t="e">
        <f t="shared" si="39"/>
        <v>#DIV/0!</v>
      </c>
      <c r="AF82" s="488" t="e">
        <f t="shared" si="39"/>
        <v>#DIV/0!</v>
      </c>
      <c r="AG82" s="488" t="e">
        <f t="shared" si="39"/>
        <v>#DIV/0!</v>
      </c>
      <c r="AH82" s="488" t="e">
        <f t="shared" si="39"/>
        <v>#DIV/0!</v>
      </c>
      <c r="AI82" s="488" t="e">
        <f t="shared" si="39"/>
        <v>#DIV/0!</v>
      </c>
      <c r="AJ82" s="488" t="e">
        <f t="shared" si="39"/>
        <v>#DIV/0!</v>
      </c>
      <c r="AK82" s="488" t="e">
        <f t="shared" si="39"/>
        <v>#DIV/0!</v>
      </c>
      <c r="AL82" s="488" t="e">
        <f t="shared" si="39"/>
        <v>#DIV/0!</v>
      </c>
      <c r="AM82" s="488" t="e">
        <f t="shared" si="39"/>
        <v>#DIV/0!</v>
      </c>
      <c r="AN82" s="488" t="e">
        <f t="shared" si="39"/>
        <v>#DIV/0!</v>
      </c>
      <c r="AO82" s="488" t="e">
        <f t="shared" si="39"/>
        <v>#DIV/0!</v>
      </c>
      <c r="AP82" s="488" t="e">
        <f t="shared" si="39"/>
        <v>#DIV/0!</v>
      </c>
      <c r="AQ82" s="488" t="e">
        <f t="shared" si="39"/>
        <v>#DIV/0!</v>
      </c>
      <c r="AR82" s="488" t="e">
        <f t="shared" si="39"/>
        <v>#DIV/0!</v>
      </c>
    </row>
    <row r="83" spans="1:188" x14ac:dyDescent="0.2">
      <c r="C83" s="486" t="s">
        <v>270</v>
      </c>
      <c r="D83" s="487"/>
      <c r="E83" s="488">
        <f>'Tariff Inputs'!D106</f>
        <v>516</v>
      </c>
      <c r="F83" s="488">
        <f>E83*(1+'Tariff Inputs'!$D93)</f>
        <v>516</v>
      </c>
      <c r="G83" s="488">
        <f>F83*(1+'Tariff Inputs'!$D93)</f>
        <v>516</v>
      </c>
      <c r="H83" s="488">
        <f>G83*(1+'Tariff Inputs'!$D93)</f>
        <v>516</v>
      </c>
      <c r="I83" s="488">
        <f>H83*(1+'Tariff Inputs'!$D93)</f>
        <v>516</v>
      </c>
      <c r="J83" s="488">
        <f>I83*(1+'Tariff Inputs'!$D93)</f>
        <v>516</v>
      </c>
      <c r="K83" s="488">
        <f>J83*(1+'Tariff Inputs'!$D93)</f>
        <v>516</v>
      </c>
      <c r="L83" s="488">
        <f>K83*(1+'Tariff Inputs'!$D93)</f>
        <v>516</v>
      </c>
      <c r="M83" s="488">
        <f>L83*(1+'Tariff Inputs'!$D93)</f>
        <v>516</v>
      </c>
      <c r="N83" s="488">
        <f>M83*(1+'Tariff Inputs'!$D93)</f>
        <v>516</v>
      </c>
      <c r="O83" s="488">
        <f>N83*(1+'Tariff Inputs'!$D93)</f>
        <v>516</v>
      </c>
      <c r="P83" s="488">
        <f>O83*(1+'Tariff Inputs'!$D93)</f>
        <v>516</v>
      </c>
      <c r="Q83" s="488">
        <f>P83*(1+'Tariff Inputs'!$D93)</f>
        <v>516</v>
      </c>
      <c r="R83" s="488">
        <f>Q83*(1+'Tariff Inputs'!$D93)</f>
        <v>516</v>
      </c>
      <c r="S83" s="488">
        <f>R83*(1+'Tariff Inputs'!$D93)</f>
        <v>516</v>
      </c>
      <c r="T83" s="488">
        <f>S83*(1+'Tariff Inputs'!$D93)</f>
        <v>516</v>
      </c>
      <c r="U83" s="488">
        <f>T83*(1+'Tariff Inputs'!$D93)</f>
        <v>516</v>
      </c>
      <c r="V83" s="488">
        <f>U83*(1+'Tariff Inputs'!$D93)</f>
        <v>516</v>
      </c>
      <c r="W83" s="488">
        <f>V83*(1+'Tariff Inputs'!$D93)</f>
        <v>516</v>
      </c>
      <c r="X83" s="488">
        <f>W83*(1+'Tariff Inputs'!$D93)</f>
        <v>516</v>
      </c>
      <c r="Y83" s="488">
        <f>X83*(1+'Tariff Inputs'!$D93)</f>
        <v>516</v>
      </c>
      <c r="Z83" s="488">
        <f>Y83*(1+'Tariff Inputs'!$D93)</f>
        <v>516</v>
      </c>
      <c r="AA83" s="488">
        <f>Z83*(1+'Tariff Inputs'!$D93)</f>
        <v>516</v>
      </c>
      <c r="AB83" s="488">
        <f>AA83*(1+'Tariff Inputs'!$D93)</f>
        <v>516</v>
      </c>
      <c r="AC83" s="488">
        <f>AB83*(1+'Tariff Inputs'!$D93)</f>
        <v>516</v>
      </c>
      <c r="AD83" s="488">
        <f>AC83*(1+'Tariff Inputs'!$D93)</f>
        <v>516</v>
      </c>
      <c r="AE83" s="488">
        <f>AD83*(1+'Tariff Inputs'!$D93)</f>
        <v>516</v>
      </c>
      <c r="AF83" s="488">
        <f>AE83*(1+'Tariff Inputs'!$D93)</f>
        <v>516</v>
      </c>
      <c r="AG83" s="488">
        <f>AF83*(1+'Tariff Inputs'!$D93)</f>
        <v>516</v>
      </c>
      <c r="AH83" s="488">
        <f>AG83*(1+'Tariff Inputs'!$D93)</f>
        <v>516</v>
      </c>
      <c r="AI83" s="488">
        <f>AH83*(1+'Tariff Inputs'!$D93)</f>
        <v>516</v>
      </c>
      <c r="AJ83" s="488">
        <f>AI83*(1+'Tariff Inputs'!$D93)</f>
        <v>516</v>
      </c>
      <c r="AK83" s="488">
        <f>AJ83*(1+'Tariff Inputs'!$D93)</f>
        <v>516</v>
      </c>
      <c r="AL83" s="488">
        <f>AK83*(1+'Tariff Inputs'!$D93)</f>
        <v>516</v>
      </c>
      <c r="AM83" s="488">
        <f>AL83*(1+'Tariff Inputs'!$D93)</f>
        <v>516</v>
      </c>
      <c r="AN83" s="488">
        <f>AM83*(1+'Tariff Inputs'!$D93)</f>
        <v>516</v>
      </c>
      <c r="AO83" s="488">
        <f>AN83*(1+'Tariff Inputs'!$D93)</f>
        <v>516</v>
      </c>
      <c r="AP83" s="488">
        <f>AO83*(1+'Tariff Inputs'!$D93)</f>
        <v>516</v>
      </c>
      <c r="AQ83" s="488">
        <f>AP83*(1+'Tariff Inputs'!$D93)</f>
        <v>516</v>
      </c>
      <c r="AR83" s="488">
        <f>AQ83*(1+'Tariff Inputs'!$D93)</f>
        <v>516</v>
      </c>
    </row>
    <row r="84" spans="1:188" x14ac:dyDescent="0.2">
      <c r="C84" s="486" t="s">
        <v>273</v>
      </c>
      <c r="D84" s="489" t="s">
        <v>447</v>
      </c>
      <c r="E84" s="488" t="e">
        <f>E82/E83/12</f>
        <v>#DIV/0!</v>
      </c>
      <c r="F84" s="488" t="e">
        <f t="shared" ref="F84:AR84" si="40">F82/F83/12</f>
        <v>#DIV/0!</v>
      </c>
      <c r="G84" s="488" t="e">
        <f t="shared" si="40"/>
        <v>#DIV/0!</v>
      </c>
      <c r="H84" s="488" t="e">
        <f t="shared" si="40"/>
        <v>#DIV/0!</v>
      </c>
      <c r="I84" s="488" t="e">
        <f t="shared" si="40"/>
        <v>#DIV/0!</v>
      </c>
      <c r="J84" s="488" t="e">
        <f t="shared" si="40"/>
        <v>#DIV/0!</v>
      </c>
      <c r="K84" s="488" t="e">
        <f t="shared" si="40"/>
        <v>#DIV/0!</v>
      </c>
      <c r="L84" s="488" t="e">
        <f t="shared" si="40"/>
        <v>#DIV/0!</v>
      </c>
      <c r="M84" s="488" t="e">
        <f t="shared" si="40"/>
        <v>#DIV/0!</v>
      </c>
      <c r="N84" s="488" t="e">
        <f t="shared" si="40"/>
        <v>#DIV/0!</v>
      </c>
      <c r="O84" s="488" t="e">
        <f t="shared" si="40"/>
        <v>#DIV/0!</v>
      </c>
      <c r="P84" s="488" t="e">
        <f t="shared" si="40"/>
        <v>#DIV/0!</v>
      </c>
      <c r="Q84" s="488" t="e">
        <f t="shared" si="40"/>
        <v>#DIV/0!</v>
      </c>
      <c r="R84" s="488" t="e">
        <f t="shared" si="40"/>
        <v>#DIV/0!</v>
      </c>
      <c r="S84" s="488" t="e">
        <f t="shared" si="40"/>
        <v>#DIV/0!</v>
      </c>
      <c r="T84" s="488" t="e">
        <f t="shared" si="40"/>
        <v>#DIV/0!</v>
      </c>
      <c r="U84" s="488" t="e">
        <f t="shared" si="40"/>
        <v>#DIV/0!</v>
      </c>
      <c r="V84" s="488" t="e">
        <f t="shared" si="40"/>
        <v>#DIV/0!</v>
      </c>
      <c r="W84" s="488" t="e">
        <f t="shared" si="40"/>
        <v>#DIV/0!</v>
      </c>
      <c r="X84" s="488" t="e">
        <f t="shared" si="40"/>
        <v>#DIV/0!</v>
      </c>
      <c r="Y84" s="488" t="e">
        <f t="shared" si="40"/>
        <v>#DIV/0!</v>
      </c>
      <c r="Z84" s="488" t="e">
        <f t="shared" si="40"/>
        <v>#DIV/0!</v>
      </c>
      <c r="AA84" s="488" t="e">
        <f t="shared" si="40"/>
        <v>#DIV/0!</v>
      </c>
      <c r="AB84" s="488" t="e">
        <f t="shared" si="40"/>
        <v>#DIV/0!</v>
      </c>
      <c r="AC84" s="488" t="e">
        <f t="shared" si="40"/>
        <v>#DIV/0!</v>
      </c>
      <c r="AD84" s="488" t="e">
        <f t="shared" si="40"/>
        <v>#DIV/0!</v>
      </c>
      <c r="AE84" s="488" t="e">
        <f t="shared" si="40"/>
        <v>#DIV/0!</v>
      </c>
      <c r="AF84" s="488" t="e">
        <f t="shared" si="40"/>
        <v>#DIV/0!</v>
      </c>
      <c r="AG84" s="488" t="e">
        <f t="shared" si="40"/>
        <v>#DIV/0!</v>
      </c>
      <c r="AH84" s="488" t="e">
        <f t="shared" si="40"/>
        <v>#DIV/0!</v>
      </c>
      <c r="AI84" s="488" t="e">
        <f t="shared" si="40"/>
        <v>#DIV/0!</v>
      </c>
      <c r="AJ84" s="488" t="e">
        <f t="shared" si="40"/>
        <v>#DIV/0!</v>
      </c>
      <c r="AK84" s="488" t="e">
        <f t="shared" si="40"/>
        <v>#DIV/0!</v>
      </c>
      <c r="AL84" s="488" t="e">
        <f t="shared" si="40"/>
        <v>#DIV/0!</v>
      </c>
      <c r="AM84" s="488" t="e">
        <f t="shared" si="40"/>
        <v>#DIV/0!</v>
      </c>
      <c r="AN84" s="488" t="e">
        <f t="shared" si="40"/>
        <v>#DIV/0!</v>
      </c>
      <c r="AO84" s="488" t="e">
        <f t="shared" si="40"/>
        <v>#DIV/0!</v>
      </c>
      <c r="AP84" s="488" t="e">
        <f t="shared" si="40"/>
        <v>#DIV/0!</v>
      </c>
      <c r="AQ84" s="488" t="e">
        <f t="shared" si="40"/>
        <v>#DIV/0!</v>
      </c>
      <c r="AR84" s="488" t="e">
        <f t="shared" si="40"/>
        <v>#DIV/0!</v>
      </c>
    </row>
    <row r="85" spans="1:188" x14ac:dyDescent="0.2">
      <c r="C85" s="19"/>
      <c r="D85" s="20"/>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2"/>
    </row>
    <row r="88" spans="1:188" x14ac:dyDescent="0.2">
      <c r="C88" s="742" t="s">
        <v>516</v>
      </c>
      <c r="D88" s="743"/>
    </row>
    <row r="89" spans="1:188" x14ac:dyDescent="0.2">
      <c r="C89" s="475" t="s">
        <v>277</v>
      </c>
      <c r="D89" s="465" t="e">
        <f>'Capital Costs Details'!D151/'Capital Costs Details'!G151</f>
        <v>#DIV/0!</v>
      </c>
      <c r="E89" s="17" t="e">
        <f t="shared" ref="E89:AR89" si="41">$D89*(E25-E23)</f>
        <v>#DIV/0!</v>
      </c>
      <c r="F89" s="17" t="e">
        <f t="shared" si="41"/>
        <v>#DIV/0!</v>
      </c>
      <c r="G89" s="17" t="e">
        <f t="shared" si="41"/>
        <v>#DIV/0!</v>
      </c>
      <c r="H89" s="17" t="e">
        <f t="shared" si="41"/>
        <v>#DIV/0!</v>
      </c>
      <c r="I89" s="17" t="e">
        <f t="shared" si="41"/>
        <v>#DIV/0!</v>
      </c>
      <c r="J89" s="17" t="e">
        <f t="shared" si="41"/>
        <v>#DIV/0!</v>
      </c>
      <c r="K89" s="17" t="e">
        <f t="shared" si="41"/>
        <v>#DIV/0!</v>
      </c>
      <c r="L89" s="17" t="e">
        <f t="shared" si="41"/>
        <v>#DIV/0!</v>
      </c>
      <c r="M89" s="17" t="e">
        <f t="shared" si="41"/>
        <v>#DIV/0!</v>
      </c>
      <c r="N89" s="17" t="e">
        <f t="shared" si="41"/>
        <v>#DIV/0!</v>
      </c>
      <c r="O89" s="17" t="e">
        <f t="shared" si="41"/>
        <v>#DIV/0!</v>
      </c>
      <c r="P89" s="17" t="e">
        <f t="shared" si="41"/>
        <v>#DIV/0!</v>
      </c>
      <c r="Q89" s="17" t="e">
        <f t="shared" si="41"/>
        <v>#DIV/0!</v>
      </c>
      <c r="R89" s="17" t="e">
        <f t="shared" si="41"/>
        <v>#DIV/0!</v>
      </c>
      <c r="S89" s="17" t="e">
        <f t="shared" si="41"/>
        <v>#DIV/0!</v>
      </c>
      <c r="T89" s="17" t="e">
        <f t="shared" si="41"/>
        <v>#DIV/0!</v>
      </c>
      <c r="U89" s="17" t="e">
        <f t="shared" si="41"/>
        <v>#DIV/0!</v>
      </c>
      <c r="V89" s="17" t="e">
        <f t="shared" si="41"/>
        <v>#DIV/0!</v>
      </c>
      <c r="W89" s="17" t="e">
        <f t="shared" si="41"/>
        <v>#DIV/0!</v>
      </c>
      <c r="X89" s="17" t="e">
        <f t="shared" si="41"/>
        <v>#DIV/0!</v>
      </c>
      <c r="Y89" s="17" t="e">
        <f t="shared" si="41"/>
        <v>#DIV/0!</v>
      </c>
      <c r="Z89" s="17" t="e">
        <f t="shared" si="41"/>
        <v>#DIV/0!</v>
      </c>
      <c r="AA89" s="17" t="e">
        <f t="shared" si="41"/>
        <v>#DIV/0!</v>
      </c>
      <c r="AB89" s="17" t="e">
        <f t="shared" si="41"/>
        <v>#DIV/0!</v>
      </c>
      <c r="AC89" s="17" t="e">
        <f t="shared" si="41"/>
        <v>#DIV/0!</v>
      </c>
      <c r="AD89" s="17" t="e">
        <f t="shared" si="41"/>
        <v>#DIV/0!</v>
      </c>
      <c r="AE89" s="17" t="e">
        <f t="shared" si="41"/>
        <v>#DIV/0!</v>
      </c>
      <c r="AF89" s="17" t="e">
        <f t="shared" si="41"/>
        <v>#DIV/0!</v>
      </c>
      <c r="AG89" s="17" t="e">
        <f t="shared" si="41"/>
        <v>#DIV/0!</v>
      </c>
      <c r="AH89" s="17" t="e">
        <f t="shared" si="41"/>
        <v>#DIV/0!</v>
      </c>
      <c r="AI89" s="17" t="e">
        <f t="shared" si="41"/>
        <v>#DIV/0!</v>
      </c>
      <c r="AJ89" s="17" t="e">
        <f t="shared" si="41"/>
        <v>#DIV/0!</v>
      </c>
      <c r="AK89" s="17" t="e">
        <f t="shared" si="41"/>
        <v>#DIV/0!</v>
      </c>
      <c r="AL89" s="17" t="e">
        <f t="shared" si="41"/>
        <v>#DIV/0!</v>
      </c>
      <c r="AM89" s="17" t="e">
        <f t="shared" si="41"/>
        <v>#DIV/0!</v>
      </c>
      <c r="AN89" s="17" t="e">
        <f t="shared" si="41"/>
        <v>#DIV/0!</v>
      </c>
      <c r="AO89" s="17" t="e">
        <f t="shared" si="41"/>
        <v>#DIV/0!</v>
      </c>
      <c r="AP89" s="17" t="e">
        <f t="shared" si="41"/>
        <v>#DIV/0!</v>
      </c>
      <c r="AQ89" s="17" t="e">
        <f t="shared" si="41"/>
        <v>#DIV/0!</v>
      </c>
      <c r="AR89" s="18" t="e">
        <f t="shared" si="41"/>
        <v>#DIV/0!</v>
      </c>
    </row>
    <row r="90" spans="1:188" x14ac:dyDescent="0.2">
      <c r="C90" s="475" t="s">
        <v>566</v>
      </c>
      <c r="D90" s="467"/>
      <c r="E90" s="104">
        <f>IF('Tariff Inputs'!$E65=E5,+VLOOKUP(F5,'Tariff Inputs'!$E65:$H65,4),0)</f>
        <v>0</v>
      </c>
      <c r="F90" s="104">
        <f>IF('Tariff Inputs'!$E65=F5,+VLOOKUP(G5,'Tariff Inputs'!$E65:$H65,4),0)</f>
        <v>0</v>
      </c>
      <c r="G90" s="104">
        <f>IF('Tariff Inputs'!$E65=G5,+VLOOKUP(H5,'Tariff Inputs'!$E65:$H65,4),0)</f>
        <v>0</v>
      </c>
      <c r="H90" s="104">
        <f>IF('Tariff Inputs'!$E65=H5,+VLOOKUP(I5,'Tariff Inputs'!$E65:$H65,4),0)</f>
        <v>0</v>
      </c>
      <c r="I90" s="104">
        <f>IF('Tariff Inputs'!$E65=I5,+VLOOKUP(J5,'Tariff Inputs'!$E65:$H65,4),0)</f>
        <v>0</v>
      </c>
      <c r="J90" s="104">
        <f>IF('Tariff Inputs'!$E65=J5,+VLOOKUP(K5,'Tariff Inputs'!$E65:$H65,4),0)</f>
        <v>0</v>
      </c>
      <c r="K90" s="104">
        <f>IF('Tariff Inputs'!$E65=K5,+VLOOKUP(L5,'Tariff Inputs'!$E65:$H65,4),0)</f>
        <v>0</v>
      </c>
      <c r="L90" s="104">
        <f>IF('Tariff Inputs'!$E65=L5,+VLOOKUP(M5,'Tariff Inputs'!$E65:$H65,4),0)</f>
        <v>0</v>
      </c>
      <c r="M90" s="104">
        <f>IF('Tariff Inputs'!$E65=M5,+VLOOKUP(N5,'Tariff Inputs'!$E65:$H65,4),0)</f>
        <v>0</v>
      </c>
      <c r="N90" s="104">
        <f>IF('Tariff Inputs'!$E65=N5,+VLOOKUP(O5,'Tariff Inputs'!$E65:$H65,4),0)</f>
        <v>0</v>
      </c>
      <c r="O90" s="104">
        <f>IF('Tariff Inputs'!$E65=O5,+VLOOKUP(P5,'Tariff Inputs'!$E65:$H65,4),0)</f>
        <v>0</v>
      </c>
      <c r="P90" s="104">
        <f>IF('Tariff Inputs'!$E65=P5,+VLOOKUP(Q5,'Tariff Inputs'!$E65:$H65,4),0)</f>
        <v>0</v>
      </c>
      <c r="Q90" s="104">
        <f>IF('Tariff Inputs'!$E65=Q5,+VLOOKUP(R5,'Tariff Inputs'!$E65:$H65,4),0)</f>
        <v>0</v>
      </c>
      <c r="R90" s="104">
        <f>IF('Tariff Inputs'!$E65=R5,+VLOOKUP(S5,'Tariff Inputs'!$E65:$H65,4),0)</f>
        <v>0</v>
      </c>
      <c r="S90" s="104">
        <f>IF('Tariff Inputs'!$E65=S5,+VLOOKUP(T5,'Tariff Inputs'!$E65:$H65,4),0)</f>
        <v>0</v>
      </c>
      <c r="T90" s="104">
        <f>IF('Tariff Inputs'!$E65=T5,+VLOOKUP(U5,'Tariff Inputs'!$E65:$H65,4),0)</f>
        <v>0</v>
      </c>
      <c r="U90" s="104">
        <f>IF('Tariff Inputs'!$E65=U5,+VLOOKUP(V5,'Tariff Inputs'!$E65:$H65,4),0)</f>
        <v>0</v>
      </c>
      <c r="V90" s="104">
        <f>IF('Tariff Inputs'!$E65=V5,+VLOOKUP(W5,'Tariff Inputs'!$E65:$H65,4),0)</f>
        <v>0</v>
      </c>
      <c r="W90" s="104">
        <f>IF('Tariff Inputs'!$E65=W5,+VLOOKUP(X5,'Tariff Inputs'!$E65:$H65,4),0)</f>
        <v>0</v>
      </c>
      <c r="X90" s="104">
        <f>IF('Tariff Inputs'!$E65=X5,+VLOOKUP(Y5,'Tariff Inputs'!$E65:$H65,4),0)</f>
        <v>0</v>
      </c>
      <c r="Y90" s="104">
        <f>IF('Tariff Inputs'!$E65=Y5,+VLOOKUP(Z5,'Tariff Inputs'!$E65:$H65,4),0)</f>
        <v>0</v>
      </c>
      <c r="Z90" s="104">
        <f>IF('Tariff Inputs'!$E65=Z5,+VLOOKUP(AA5,'Tariff Inputs'!$E65:$H65,4),0)</f>
        <v>0</v>
      </c>
      <c r="AA90" s="104">
        <f>IF('Tariff Inputs'!$E65=AA5,+VLOOKUP(AB5,'Tariff Inputs'!$E65:$H65,4),0)</f>
        <v>0</v>
      </c>
      <c r="AB90" s="104">
        <f>IF('Tariff Inputs'!$E65=AB5,+VLOOKUP(AC5,'Tariff Inputs'!$E65:$H65,4),0)</f>
        <v>0</v>
      </c>
      <c r="AC90" s="104">
        <f>IF('Tariff Inputs'!$E65=AC5,+VLOOKUP(AD5,'Tariff Inputs'!$E65:$H65,4),0)</f>
        <v>0</v>
      </c>
      <c r="AD90" s="104">
        <f>IF('Tariff Inputs'!$E65=AD5,+VLOOKUP(AE5,'Tariff Inputs'!$E65:$H65,4),0)</f>
        <v>0</v>
      </c>
      <c r="AE90" s="104">
        <f>IF('Tariff Inputs'!$E65=AE5,+VLOOKUP(AF5,'Tariff Inputs'!$E65:$H65,4),0)</f>
        <v>0</v>
      </c>
      <c r="AF90" s="104">
        <f>IF('Tariff Inputs'!$E65=AF5,+VLOOKUP(AG5,'Tariff Inputs'!$E65:$H65,4),0)</f>
        <v>0</v>
      </c>
      <c r="AG90" s="104">
        <f>IF('Tariff Inputs'!$E65=AG5,+VLOOKUP(AH5,'Tariff Inputs'!$E65:$H65,4),0)</f>
        <v>0</v>
      </c>
      <c r="AH90" s="104">
        <f>IF('Tariff Inputs'!$E65=AH5,+VLOOKUP(AI5,'Tariff Inputs'!$E65:$H65,4),0)</f>
        <v>0</v>
      </c>
      <c r="AI90" s="104">
        <f>IF('Tariff Inputs'!$E65=AI5,+VLOOKUP(AJ5,'Tariff Inputs'!$E65:$H65,4),0)</f>
        <v>0</v>
      </c>
      <c r="AJ90" s="104">
        <f>IF('Tariff Inputs'!$E65=AJ5,+VLOOKUP(AK5,'Tariff Inputs'!$E65:$H65,4),0)</f>
        <v>0</v>
      </c>
      <c r="AK90" s="104">
        <f>IF('Tariff Inputs'!$E65=AK5,+VLOOKUP(AL5,'Tariff Inputs'!$E65:$H65,4),0)</f>
        <v>0</v>
      </c>
      <c r="AL90" s="104">
        <f>IF('Tariff Inputs'!$E65=AL5,+VLOOKUP(AM5,'Tariff Inputs'!$E65:$H65,4),0)</f>
        <v>0</v>
      </c>
      <c r="AM90" s="104">
        <f>IF('Tariff Inputs'!$E65=AM5,+VLOOKUP(AN5,'Tariff Inputs'!$E65:$H65,4),0)</f>
        <v>0</v>
      </c>
      <c r="AN90" s="104">
        <f>IF('Tariff Inputs'!$E65=AN5,+VLOOKUP(AO5,'Tariff Inputs'!$E65:$H65,4),0)</f>
        <v>0</v>
      </c>
      <c r="AO90" s="104">
        <f>IF('Tariff Inputs'!$E65=AO5,+VLOOKUP(AP5,'Tariff Inputs'!$E65:$H65,4),0)</f>
        <v>0</v>
      </c>
      <c r="AP90" s="104">
        <f>IF('Tariff Inputs'!$E65=AP5,+VLOOKUP(AQ5,'Tariff Inputs'!$E65:$H65,4),0)</f>
        <v>0</v>
      </c>
      <c r="AQ90" s="104">
        <f>IF('Tariff Inputs'!$E65=AQ5,+VLOOKUP(AR5,'Tariff Inputs'!$E65:$H65,4),0)</f>
        <v>0</v>
      </c>
      <c r="AR90" s="110">
        <f>IF('Tariff Inputs'!$E65=AR5,+VLOOKUP(AS5,'Tariff Inputs'!$E65:$H65,4),0)</f>
        <v>0</v>
      </c>
    </row>
    <row r="91" spans="1:188" x14ac:dyDescent="0.2">
      <c r="C91" s="473" t="s">
        <v>275</v>
      </c>
      <c r="D91" s="12"/>
      <c r="E91" s="451">
        <f>IF(E5&lt;='Tariff Inputs'!$D17,(1+E26)^(E5-1),0)</f>
        <v>1</v>
      </c>
      <c r="F91" s="451">
        <f>IF(F5&lt;='Tariff Inputs'!$D17,(1+F26)^(F5-1),0)</f>
        <v>1</v>
      </c>
      <c r="G91" s="451">
        <f>IF(G5&lt;='Tariff Inputs'!$D17,(1+G26)^(G5-1),0)</f>
        <v>1</v>
      </c>
      <c r="H91" s="451">
        <f>IF(H5&lt;='Tariff Inputs'!$D17,(1+H26)^(H5-1),0)</f>
        <v>1</v>
      </c>
      <c r="I91" s="451">
        <f>IF(I5&lt;='Tariff Inputs'!$D17,(1+I26)^(I5-1),0)</f>
        <v>1</v>
      </c>
      <c r="J91" s="451">
        <f>IF(J5&lt;='Tariff Inputs'!$D17,(1+J26)^(J5-1),0)</f>
        <v>1</v>
      </c>
      <c r="K91" s="451">
        <f>IF(K5&lt;='Tariff Inputs'!$D17,(1+K26)^(K5-1),0)</f>
        <v>1</v>
      </c>
      <c r="L91" s="451">
        <f>IF(L5&lt;='Tariff Inputs'!$D17,(1+L26)^(L5-1),0)</f>
        <v>1</v>
      </c>
      <c r="M91" s="451">
        <f>IF(M5&lt;='Tariff Inputs'!$D17,(1+M26)^(M5-1),0)</f>
        <v>1</v>
      </c>
      <c r="N91" s="451">
        <f>IF(N5&lt;='Tariff Inputs'!$D17,(1+N26)^(N5-1),0)</f>
        <v>1</v>
      </c>
      <c r="O91" s="451">
        <f>IF(O5&lt;='Tariff Inputs'!$D17,(1+O26)^(O5-1),0)</f>
        <v>1</v>
      </c>
      <c r="P91" s="451">
        <f>IF(P5&lt;='Tariff Inputs'!$D17,(1+P26)^(P5-1),0)</f>
        <v>1</v>
      </c>
      <c r="Q91" s="451">
        <f>IF(Q5&lt;='Tariff Inputs'!$D17,(1+Q26)^(Q5-1),0)</f>
        <v>1</v>
      </c>
      <c r="R91" s="451">
        <f>IF(R5&lt;='Tariff Inputs'!$D17,(1+R26)^(R5-1),0)</f>
        <v>1</v>
      </c>
      <c r="S91" s="451">
        <f>IF(S5&lt;='Tariff Inputs'!$D17,(1+S26)^(S5-1),0)</f>
        <v>1</v>
      </c>
      <c r="T91" s="451">
        <f>IF(T5&lt;='Tariff Inputs'!$D17,(1+T26)^(T5-1),0)</f>
        <v>1</v>
      </c>
      <c r="U91" s="451">
        <f>IF(U5&lt;='Tariff Inputs'!$D17,(1+U26)^(U5-1),0)</f>
        <v>1</v>
      </c>
      <c r="V91" s="451">
        <f>IF(V5&lt;='Tariff Inputs'!$D17,(1+V26)^(V5-1),0)</f>
        <v>1</v>
      </c>
      <c r="W91" s="451">
        <f>IF(W5&lt;='Tariff Inputs'!$D17,(1+W26)^(W5-1),0)</f>
        <v>1</v>
      </c>
      <c r="X91" s="451">
        <f>IF(X5&lt;='Tariff Inputs'!$D17,(1+X26)^(X5-1),0)</f>
        <v>1</v>
      </c>
      <c r="Y91" s="451">
        <f>IF(Y5&lt;='Tariff Inputs'!$D17,(1+Y26)^(Y5-1),0)</f>
        <v>1</v>
      </c>
      <c r="Z91" s="451">
        <f>IF(Z5&lt;='Tariff Inputs'!$D17,(1+Z26)^(Z5-1),0)</f>
        <v>1</v>
      </c>
      <c r="AA91" s="451">
        <f>IF(AA5&lt;='Tariff Inputs'!$D17,(1+AA26)^(AA5-1),0)</f>
        <v>1</v>
      </c>
      <c r="AB91" s="451">
        <f>IF(AB5&lt;='Tariff Inputs'!$D17,(1+AB26)^(AB5-1),0)</f>
        <v>1</v>
      </c>
      <c r="AC91" s="451">
        <f>IF(AC5&lt;='Tariff Inputs'!$D17,(1+AC26)^(AC5-1),0)</f>
        <v>1</v>
      </c>
      <c r="AD91" s="451">
        <f>IF(AD5&lt;='Tariff Inputs'!$D17,(1+AD26)^(AD5-1),0)</f>
        <v>0</v>
      </c>
      <c r="AE91" s="451">
        <f>IF(AE5&lt;='Tariff Inputs'!$D17,(1+AE26)^(AE5-1),0)</f>
        <v>0</v>
      </c>
      <c r="AF91" s="451">
        <f>IF(AF5&lt;='Tariff Inputs'!$D17,(1+AF26)^(AF5-1),0)</f>
        <v>0</v>
      </c>
      <c r="AG91" s="451">
        <f>IF(AG5&lt;='Tariff Inputs'!$D17,(1+AG26)^(AG5-1),0)</f>
        <v>0</v>
      </c>
      <c r="AH91" s="451">
        <f>IF(AH5&lt;='Tariff Inputs'!$D17,(1+AH26)^(AH5-1),0)</f>
        <v>0</v>
      </c>
      <c r="AI91" s="451">
        <f>IF(AI5&lt;='Tariff Inputs'!$D17,(1+AI26)^(AI5-1),0)</f>
        <v>0</v>
      </c>
      <c r="AJ91" s="451">
        <f>IF(AJ5&lt;='Tariff Inputs'!$D17,(1+AJ26)^(AJ5-1),0)</f>
        <v>0</v>
      </c>
      <c r="AK91" s="451">
        <f>IF(AK5&lt;='Tariff Inputs'!$D17,(1+AK26)^(AK5-1),0)</f>
        <v>0</v>
      </c>
      <c r="AL91" s="451">
        <f>IF(AL5&lt;='Tariff Inputs'!$D17,(1+AL26)^(AL5-1),0)</f>
        <v>0</v>
      </c>
      <c r="AM91" s="451">
        <f>IF(AM5&lt;='Tariff Inputs'!$D17,(1+AM26)^(AM5-1),0)</f>
        <v>0</v>
      </c>
      <c r="AN91" s="451">
        <f>IF(AN5&lt;='Tariff Inputs'!$D17,(1+AN26)^(AN5-1),0)</f>
        <v>0</v>
      </c>
      <c r="AO91" s="451">
        <f>IF(AO5&lt;='Tariff Inputs'!$D17,(1+AO26)^(AO5-1),0)</f>
        <v>0</v>
      </c>
      <c r="AP91" s="451">
        <f>IF(AP5&lt;='Tariff Inputs'!$D17,(1+AP26)^(AP5-1),0)</f>
        <v>0</v>
      </c>
      <c r="AQ91" s="451">
        <f>IF(AQ5&lt;='Tariff Inputs'!$D17,(1+AQ26)^(AQ5-1),0)</f>
        <v>0</v>
      </c>
      <c r="AR91" s="452">
        <f>IF(AR5&lt;='Tariff Inputs'!$D17,(1+AR26)^(AR5-1),0)</f>
        <v>0</v>
      </c>
    </row>
    <row r="92" spans="1:188" s="102" customFormat="1" x14ac:dyDescent="0.2">
      <c r="A92" s="371"/>
      <c r="C92" s="474" t="s">
        <v>276</v>
      </c>
      <c r="D92" s="466" t="str">
        <f>'Tariff Inputs'!I65</f>
        <v>KES</v>
      </c>
      <c r="E92" s="101" t="e">
        <f>(E89+E90)*E91</f>
        <v>#DIV/0!</v>
      </c>
      <c r="F92" s="101" t="e">
        <f t="shared" ref="F92:AR92" si="42">(F89+F90)*F91</f>
        <v>#DIV/0!</v>
      </c>
      <c r="G92" s="101" t="e">
        <f t="shared" si="42"/>
        <v>#DIV/0!</v>
      </c>
      <c r="H92" s="101" t="e">
        <f t="shared" si="42"/>
        <v>#DIV/0!</v>
      </c>
      <c r="I92" s="101" t="e">
        <f t="shared" si="42"/>
        <v>#DIV/0!</v>
      </c>
      <c r="J92" s="101" t="e">
        <f t="shared" si="42"/>
        <v>#DIV/0!</v>
      </c>
      <c r="K92" s="101" t="e">
        <f t="shared" si="42"/>
        <v>#DIV/0!</v>
      </c>
      <c r="L92" s="101" t="e">
        <f t="shared" si="42"/>
        <v>#DIV/0!</v>
      </c>
      <c r="M92" s="101" t="e">
        <f t="shared" si="42"/>
        <v>#DIV/0!</v>
      </c>
      <c r="N92" s="101" t="e">
        <f t="shared" si="42"/>
        <v>#DIV/0!</v>
      </c>
      <c r="O92" s="101" t="e">
        <f t="shared" si="42"/>
        <v>#DIV/0!</v>
      </c>
      <c r="P92" s="101" t="e">
        <f t="shared" si="42"/>
        <v>#DIV/0!</v>
      </c>
      <c r="Q92" s="101" t="e">
        <f t="shared" si="42"/>
        <v>#DIV/0!</v>
      </c>
      <c r="R92" s="101" t="e">
        <f t="shared" si="42"/>
        <v>#DIV/0!</v>
      </c>
      <c r="S92" s="101" t="e">
        <f t="shared" si="42"/>
        <v>#DIV/0!</v>
      </c>
      <c r="T92" s="101" t="e">
        <f t="shared" si="42"/>
        <v>#DIV/0!</v>
      </c>
      <c r="U92" s="101" t="e">
        <f t="shared" si="42"/>
        <v>#DIV/0!</v>
      </c>
      <c r="V92" s="101" t="e">
        <f t="shared" si="42"/>
        <v>#DIV/0!</v>
      </c>
      <c r="W92" s="101" t="e">
        <f t="shared" si="42"/>
        <v>#DIV/0!</v>
      </c>
      <c r="X92" s="101" t="e">
        <f t="shared" si="42"/>
        <v>#DIV/0!</v>
      </c>
      <c r="Y92" s="101" t="e">
        <f t="shared" si="42"/>
        <v>#DIV/0!</v>
      </c>
      <c r="Z92" s="101" t="e">
        <f t="shared" si="42"/>
        <v>#DIV/0!</v>
      </c>
      <c r="AA92" s="101" t="e">
        <f t="shared" si="42"/>
        <v>#DIV/0!</v>
      </c>
      <c r="AB92" s="101" t="e">
        <f t="shared" si="42"/>
        <v>#DIV/0!</v>
      </c>
      <c r="AC92" s="101" t="e">
        <f t="shared" si="42"/>
        <v>#DIV/0!</v>
      </c>
      <c r="AD92" s="101" t="e">
        <f t="shared" si="42"/>
        <v>#DIV/0!</v>
      </c>
      <c r="AE92" s="101" t="e">
        <f t="shared" si="42"/>
        <v>#DIV/0!</v>
      </c>
      <c r="AF92" s="101" t="e">
        <f t="shared" si="42"/>
        <v>#DIV/0!</v>
      </c>
      <c r="AG92" s="101" t="e">
        <f t="shared" si="42"/>
        <v>#DIV/0!</v>
      </c>
      <c r="AH92" s="101" t="e">
        <f t="shared" si="42"/>
        <v>#DIV/0!</v>
      </c>
      <c r="AI92" s="101" t="e">
        <f t="shared" si="42"/>
        <v>#DIV/0!</v>
      </c>
      <c r="AJ92" s="101" t="e">
        <f t="shared" si="42"/>
        <v>#DIV/0!</v>
      </c>
      <c r="AK92" s="101" t="e">
        <f t="shared" si="42"/>
        <v>#DIV/0!</v>
      </c>
      <c r="AL92" s="101" t="e">
        <f t="shared" si="42"/>
        <v>#DIV/0!</v>
      </c>
      <c r="AM92" s="101" t="e">
        <f t="shared" si="42"/>
        <v>#DIV/0!</v>
      </c>
      <c r="AN92" s="101" t="e">
        <f t="shared" si="42"/>
        <v>#DIV/0!</v>
      </c>
      <c r="AO92" s="101" t="e">
        <f t="shared" si="42"/>
        <v>#DIV/0!</v>
      </c>
      <c r="AP92" s="101" t="e">
        <f t="shared" si="42"/>
        <v>#DIV/0!</v>
      </c>
      <c r="AQ92" s="101" t="e">
        <f t="shared" si="42"/>
        <v>#DIV/0!</v>
      </c>
      <c r="AR92" s="460" t="e">
        <f t="shared" si="42"/>
        <v>#DIV/0!</v>
      </c>
      <c r="AT92" s="371"/>
      <c r="AU92" s="371"/>
      <c r="AV92" s="371"/>
      <c r="AW92" s="371"/>
      <c r="AX92" s="371"/>
      <c r="AY92" s="371"/>
      <c r="AZ92" s="371"/>
      <c r="BA92" s="371"/>
      <c r="BB92" s="371"/>
      <c r="BC92" s="371"/>
      <c r="BD92" s="371"/>
      <c r="BE92" s="371"/>
      <c r="BF92" s="371"/>
      <c r="BG92" s="371"/>
      <c r="BH92" s="371"/>
      <c r="BI92" s="371"/>
      <c r="BJ92" s="371"/>
      <c r="BK92" s="371"/>
      <c r="BL92" s="371"/>
      <c r="BM92" s="371"/>
      <c r="BN92" s="371"/>
      <c r="BO92" s="371"/>
      <c r="BP92" s="371"/>
      <c r="BQ92" s="371"/>
      <c r="BR92" s="371"/>
      <c r="BS92" s="371"/>
      <c r="BT92" s="371"/>
      <c r="BU92" s="371"/>
      <c r="BV92" s="371"/>
      <c r="BW92" s="371"/>
      <c r="BX92" s="371"/>
      <c r="BY92" s="371"/>
      <c r="BZ92" s="371"/>
      <c r="CA92" s="371"/>
      <c r="CB92" s="371"/>
      <c r="CC92" s="371"/>
      <c r="CD92" s="371"/>
      <c r="CE92" s="371"/>
      <c r="CF92" s="371"/>
      <c r="CG92" s="371"/>
      <c r="CH92" s="371"/>
      <c r="CI92" s="371"/>
      <c r="CJ92" s="371"/>
      <c r="CK92" s="371"/>
      <c r="CL92" s="371"/>
      <c r="CM92" s="371"/>
      <c r="CN92" s="371"/>
      <c r="CO92" s="371"/>
      <c r="CP92" s="371"/>
      <c r="CQ92" s="371"/>
      <c r="CR92" s="371"/>
      <c r="CS92" s="371"/>
      <c r="CT92" s="371"/>
      <c r="CU92" s="371"/>
      <c r="CV92" s="371"/>
      <c r="CW92" s="371"/>
      <c r="CX92" s="371"/>
      <c r="CY92" s="371"/>
      <c r="CZ92" s="371"/>
      <c r="DA92" s="371"/>
      <c r="DB92" s="371"/>
      <c r="DC92" s="371"/>
      <c r="DD92" s="371"/>
      <c r="DE92" s="371"/>
      <c r="DF92" s="371"/>
      <c r="DG92" s="371"/>
      <c r="DH92" s="371"/>
      <c r="DI92" s="371"/>
      <c r="DJ92" s="371"/>
      <c r="DK92" s="371"/>
      <c r="DL92" s="371"/>
      <c r="DM92" s="371"/>
      <c r="DN92" s="371"/>
      <c r="DO92" s="371"/>
      <c r="DP92" s="371"/>
      <c r="DQ92" s="371"/>
      <c r="DR92" s="371"/>
      <c r="DS92" s="371"/>
      <c r="DT92" s="371"/>
      <c r="DU92" s="371"/>
      <c r="DV92" s="371"/>
      <c r="DW92" s="371"/>
      <c r="DX92" s="371"/>
      <c r="DY92" s="371"/>
      <c r="DZ92" s="371"/>
      <c r="EA92" s="371"/>
      <c r="EB92" s="371"/>
      <c r="EC92" s="371"/>
      <c r="ED92" s="371"/>
      <c r="EE92" s="371"/>
      <c r="EF92" s="371"/>
      <c r="EG92" s="371"/>
      <c r="EH92" s="371"/>
      <c r="EI92" s="371"/>
      <c r="EJ92" s="371"/>
      <c r="EK92" s="371"/>
      <c r="EL92" s="371"/>
      <c r="EM92" s="371"/>
      <c r="EN92" s="371"/>
      <c r="EO92" s="371"/>
      <c r="EP92" s="371"/>
      <c r="EQ92" s="371"/>
      <c r="ER92" s="371"/>
      <c r="ES92" s="371"/>
      <c r="ET92" s="371"/>
      <c r="EU92" s="371"/>
      <c r="EV92" s="371"/>
      <c r="EW92" s="371"/>
      <c r="EX92" s="371"/>
      <c r="EY92" s="371"/>
      <c r="EZ92" s="371"/>
      <c r="FA92" s="371"/>
      <c r="FB92" s="371"/>
      <c r="FC92" s="371"/>
      <c r="FD92" s="371"/>
      <c r="FE92" s="371"/>
      <c r="FF92" s="371"/>
      <c r="FG92" s="371"/>
      <c r="FH92" s="371"/>
      <c r="FI92" s="371"/>
      <c r="FJ92" s="371"/>
      <c r="FK92" s="371"/>
      <c r="FL92" s="371"/>
      <c r="FM92" s="371"/>
      <c r="FN92" s="371"/>
      <c r="FO92" s="371"/>
      <c r="FP92" s="371"/>
      <c r="FQ92" s="371"/>
      <c r="FR92" s="371"/>
      <c r="FS92" s="371"/>
      <c r="FT92" s="371"/>
      <c r="FU92" s="371"/>
      <c r="FV92" s="371"/>
      <c r="FW92" s="371"/>
      <c r="FX92" s="371"/>
      <c r="FY92" s="371"/>
      <c r="FZ92" s="371"/>
      <c r="GA92" s="371"/>
      <c r="GB92" s="371"/>
      <c r="GC92" s="371"/>
      <c r="GD92" s="371"/>
      <c r="GE92" s="371"/>
      <c r="GF92" s="371"/>
    </row>
    <row r="93" spans="1:188" x14ac:dyDescent="0.2">
      <c r="C93" s="476" t="s">
        <v>1</v>
      </c>
      <c r="D93" s="467" t="e">
        <f>'Capital Costs Details'!E151/'Capital Costs Details'!G151</f>
        <v>#DIV/0!</v>
      </c>
      <c r="E93" s="104" t="e">
        <f t="shared" ref="E93:AR93" si="43">$D93*(E25-E23)</f>
        <v>#DIV/0!</v>
      </c>
      <c r="F93" s="104" t="e">
        <f t="shared" si="43"/>
        <v>#DIV/0!</v>
      </c>
      <c r="G93" s="104" t="e">
        <f t="shared" si="43"/>
        <v>#DIV/0!</v>
      </c>
      <c r="H93" s="104" t="e">
        <f t="shared" si="43"/>
        <v>#DIV/0!</v>
      </c>
      <c r="I93" s="104" t="e">
        <f t="shared" si="43"/>
        <v>#DIV/0!</v>
      </c>
      <c r="J93" s="104" t="e">
        <f t="shared" si="43"/>
        <v>#DIV/0!</v>
      </c>
      <c r="K93" s="104" t="e">
        <f t="shared" si="43"/>
        <v>#DIV/0!</v>
      </c>
      <c r="L93" s="104" t="e">
        <f t="shared" si="43"/>
        <v>#DIV/0!</v>
      </c>
      <c r="M93" s="104" t="e">
        <f t="shared" si="43"/>
        <v>#DIV/0!</v>
      </c>
      <c r="N93" s="104" t="e">
        <f t="shared" si="43"/>
        <v>#DIV/0!</v>
      </c>
      <c r="O93" s="104" t="e">
        <f t="shared" si="43"/>
        <v>#DIV/0!</v>
      </c>
      <c r="P93" s="104" t="e">
        <f t="shared" si="43"/>
        <v>#DIV/0!</v>
      </c>
      <c r="Q93" s="104" t="e">
        <f t="shared" si="43"/>
        <v>#DIV/0!</v>
      </c>
      <c r="R93" s="104" t="e">
        <f t="shared" si="43"/>
        <v>#DIV/0!</v>
      </c>
      <c r="S93" s="104" t="e">
        <f t="shared" si="43"/>
        <v>#DIV/0!</v>
      </c>
      <c r="T93" s="104" t="e">
        <f t="shared" si="43"/>
        <v>#DIV/0!</v>
      </c>
      <c r="U93" s="104" t="e">
        <f t="shared" si="43"/>
        <v>#DIV/0!</v>
      </c>
      <c r="V93" s="104" t="e">
        <f t="shared" si="43"/>
        <v>#DIV/0!</v>
      </c>
      <c r="W93" s="104" t="e">
        <f t="shared" si="43"/>
        <v>#DIV/0!</v>
      </c>
      <c r="X93" s="104" t="e">
        <f t="shared" si="43"/>
        <v>#DIV/0!</v>
      </c>
      <c r="Y93" s="104" t="e">
        <f t="shared" si="43"/>
        <v>#DIV/0!</v>
      </c>
      <c r="Z93" s="104" t="e">
        <f t="shared" si="43"/>
        <v>#DIV/0!</v>
      </c>
      <c r="AA93" s="104" t="e">
        <f t="shared" si="43"/>
        <v>#DIV/0!</v>
      </c>
      <c r="AB93" s="104" t="e">
        <f t="shared" si="43"/>
        <v>#DIV/0!</v>
      </c>
      <c r="AC93" s="104" t="e">
        <f t="shared" si="43"/>
        <v>#DIV/0!</v>
      </c>
      <c r="AD93" s="104" t="e">
        <f t="shared" si="43"/>
        <v>#DIV/0!</v>
      </c>
      <c r="AE93" s="104" t="e">
        <f t="shared" si="43"/>
        <v>#DIV/0!</v>
      </c>
      <c r="AF93" s="104" t="e">
        <f t="shared" si="43"/>
        <v>#DIV/0!</v>
      </c>
      <c r="AG93" s="104" t="e">
        <f t="shared" si="43"/>
        <v>#DIV/0!</v>
      </c>
      <c r="AH93" s="104" t="e">
        <f t="shared" si="43"/>
        <v>#DIV/0!</v>
      </c>
      <c r="AI93" s="104" t="e">
        <f t="shared" si="43"/>
        <v>#DIV/0!</v>
      </c>
      <c r="AJ93" s="104" t="e">
        <f t="shared" si="43"/>
        <v>#DIV/0!</v>
      </c>
      <c r="AK93" s="104" t="e">
        <f t="shared" si="43"/>
        <v>#DIV/0!</v>
      </c>
      <c r="AL93" s="104" t="e">
        <f t="shared" si="43"/>
        <v>#DIV/0!</v>
      </c>
      <c r="AM93" s="104" t="e">
        <f t="shared" si="43"/>
        <v>#DIV/0!</v>
      </c>
      <c r="AN93" s="104" t="e">
        <f t="shared" si="43"/>
        <v>#DIV/0!</v>
      </c>
      <c r="AO93" s="104" t="e">
        <f t="shared" si="43"/>
        <v>#DIV/0!</v>
      </c>
      <c r="AP93" s="104" t="e">
        <f t="shared" si="43"/>
        <v>#DIV/0!</v>
      </c>
      <c r="AQ93" s="104" t="e">
        <f t="shared" si="43"/>
        <v>#DIV/0!</v>
      </c>
      <c r="AR93" s="110" t="e">
        <f t="shared" si="43"/>
        <v>#DIV/0!</v>
      </c>
    </row>
    <row r="94" spans="1:188" x14ac:dyDescent="0.2">
      <c r="C94" s="475" t="s">
        <v>566</v>
      </c>
      <c r="D94" s="467"/>
      <c r="E94" s="104">
        <f>IF('Tariff Inputs'!$E66=E5,+VLOOKUP(F5,'Tariff Inputs'!$E66:$H66,4),0)</f>
        <v>0</v>
      </c>
      <c r="F94" s="104">
        <f>IF('Tariff Inputs'!$E66=F5,+VLOOKUP(G5,'Tariff Inputs'!$E66:$H66,4),0)</f>
        <v>0</v>
      </c>
      <c r="G94" s="104">
        <f>IF('Tariff Inputs'!$E66=G5,+VLOOKUP(H5,'Tariff Inputs'!$E66:$H66,4),0)</f>
        <v>0</v>
      </c>
      <c r="H94" s="104">
        <f>IF('Tariff Inputs'!$E66=H5,+VLOOKUP(I5,'Tariff Inputs'!$E66:$H66,4),0)</f>
        <v>0</v>
      </c>
      <c r="I94" s="104">
        <f>IF('Tariff Inputs'!$E66=I5,+VLOOKUP(J5,'Tariff Inputs'!$E66:$H66,4),0)</f>
        <v>0</v>
      </c>
      <c r="J94" s="104">
        <f>IF('Tariff Inputs'!$E66=J5,+VLOOKUP(K5,'Tariff Inputs'!$E66:$H66,4),0)</f>
        <v>0</v>
      </c>
      <c r="K94" s="104">
        <f>IF('Tariff Inputs'!$E66=K5,+VLOOKUP(L5,'Tariff Inputs'!$E66:$H66,4),0)</f>
        <v>0</v>
      </c>
      <c r="L94" s="104">
        <f>IF('Tariff Inputs'!$E66=L5,+VLOOKUP(M5,'Tariff Inputs'!$E66:$H66,4),0)</f>
        <v>0</v>
      </c>
      <c r="M94" s="104">
        <f>IF('Tariff Inputs'!$E66=M5,+VLOOKUP(N5,'Tariff Inputs'!$E66:$H66,4),0)</f>
        <v>0</v>
      </c>
      <c r="N94" s="104">
        <f>IF('Tariff Inputs'!$E66=N5,+VLOOKUP(O5,'Tariff Inputs'!$E66:$H66,4),0)</f>
        <v>0</v>
      </c>
      <c r="O94" s="104">
        <f>IF('Tariff Inputs'!$E66=O5,+VLOOKUP(P5,'Tariff Inputs'!$E66:$H66,4),0)</f>
        <v>0</v>
      </c>
      <c r="P94" s="104">
        <f>IF('Tariff Inputs'!$E66=P5,+VLOOKUP(Q5,'Tariff Inputs'!$E66:$H66,4),0)</f>
        <v>0</v>
      </c>
      <c r="Q94" s="104">
        <f>IF('Tariff Inputs'!$E66=Q5,+VLOOKUP(R5,'Tariff Inputs'!$E66:$H66,4),0)</f>
        <v>0</v>
      </c>
      <c r="R94" s="104">
        <f>IF('Tariff Inputs'!$E66=R5,+VLOOKUP(S5,'Tariff Inputs'!$E66:$H66,4),0)</f>
        <v>0</v>
      </c>
      <c r="S94" s="104">
        <f>IF('Tariff Inputs'!$E66=S5,+VLOOKUP(T5,'Tariff Inputs'!$E66:$H66,4),0)</f>
        <v>0</v>
      </c>
      <c r="T94" s="104">
        <f>IF('Tariff Inputs'!$E66=T5,+VLOOKUP(U5,'Tariff Inputs'!$E66:$H66,4),0)</f>
        <v>0</v>
      </c>
      <c r="U94" s="104">
        <f>IF('Tariff Inputs'!$E66=U5,+VLOOKUP(V5,'Tariff Inputs'!$E66:$H66,4),0)</f>
        <v>0</v>
      </c>
      <c r="V94" s="104">
        <f>IF('Tariff Inputs'!$E66=V5,+VLOOKUP(W5,'Tariff Inputs'!$E66:$H66,4),0)</f>
        <v>0</v>
      </c>
      <c r="W94" s="104">
        <f>IF('Tariff Inputs'!$E66=W5,+VLOOKUP(X5,'Tariff Inputs'!$E66:$H66,4),0)</f>
        <v>0</v>
      </c>
      <c r="X94" s="104">
        <f>IF('Tariff Inputs'!$E66=X5,+VLOOKUP(Y5,'Tariff Inputs'!$E66:$H66,4),0)</f>
        <v>0</v>
      </c>
      <c r="Y94" s="104">
        <f>IF('Tariff Inputs'!$E66=Y5,+VLOOKUP(Z5,'Tariff Inputs'!$E66:$H66,4),0)</f>
        <v>0</v>
      </c>
      <c r="Z94" s="104">
        <f>IF('Tariff Inputs'!$E66=Z5,+VLOOKUP(AA5,'Tariff Inputs'!$E66:$H66,4),0)</f>
        <v>0</v>
      </c>
      <c r="AA94" s="104">
        <f>IF('Tariff Inputs'!$E66=AA5,+VLOOKUP(AB5,'Tariff Inputs'!$E66:$H66,4),0)</f>
        <v>0</v>
      </c>
      <c r="AB94" s="104">
        <f>IF('Tariff Inputs'!$E66=AB5,+VLOOKUP(AC5,'Tariff Inputs'!$E66:$H66,4),0)</f>
        <v>0</v>
      </c>
      <c r="AC94" s="104">
        <f>IF('Tariff Inputs'!$E66=AC5,+VLOOKUP(AD5,'Tariff Inputs'!$E66:$H66,4),0)</f>
        <v>0</v>
      </c>
      <c r="AD94" s="104">
        <f>IF('Tariff Inputs'!$E66=AD5,+VLOOKUP(AE5,'Tariff Inputs'!$E66:$H66,4),0)</f>
        <v>0</v>
      </c>
      <c r="AE94" s="104">
        <f>IF('Tariff Inputs'!$E66=AE5,+VLOOKUP(AF5,'Tariff Inputs'!$E66:$H66,4),0)</f>
        <v>0</v>
      </c>
      <c r="AF94" s="104">
        <f>IF('Tariff Inputs'!$E66=AF5,+VLOOKUP(AG5,'Tariff Inputs'!$E66:$H66,4),0)</f>
        <v>0</v>
      </c>
      <c r="AG94" s="104">
        <f>IF('Tariff Inputs'!$E66=AG5,+VLOOKUP(AH5,'Tariff Inputs'!$E66:$H66,4),0)</f>
        <v>0</v>
      </c>
      <c r="AH94" s="104">
        <f>IF('Tariff Inputs'!$E66=AH5,+VLOOKUP(AI5,'Tariff Inputs'!$E66:$H66,4),0)</f>
        <v>0</v>
      </c>
      <c r="AI94" s="104">
        <f>IF('Tariff Inputs'!$E66=AI5,+VLOOKUP(AJ5,'Tariff Inputs'!$E66:$H66,4),0)</f>
        <v>0</v>
      </c>
      <c r="AJ94" s="104">
        <f>IF('Tariff Inputs'!$E66=AJ5,+VLOOKUP(AK5,'Tariff Inputs'!$E66:$H66,4),0)</f>
        <v>0</v>
      </c>
      <c r="AK94" s="104">
        <f>IF('Tariff Inputs'!$E66=AK5,+VLOOKUP(AL5,'Tariff Inputs'!$E66:$H66,4),0)</f>
        <v>0</v>
      </c>
      <c r="AL94" s="104">
        <f>IF('Tariff Inputs'!$E66=AL5,+VLOOKUP(AM5,'Tariff Inputs'!$E66:$H66,4),0)</f>
        <v>0</v>
      </c>
      <c r="AM94" s="104">
        <f>IF('Tariff Inputs'!$E66=AM5,+VLOOKUP(AN5,'Tariff Inputs'!$E66:$H66,4),0)</f>
        <v>0</v>
      </c>
      <c r="AN94" s="104">
        <f>IF('Tariff Inputs'!$E66=AN5,+VLOOKUP(AO5,'Tariff Inputs'!$E66:$H66,4),0)</f>
        <v>0</v>
      </c>
      <c r="AO94" s="104">
        <f>IF('Tariff Inputs'!$E66=AO5,+VLOOKUP(AP5,'Tariff Inputs'!$E66:$H66,4),0)</f>
        <v>0</v>
      </c>
      <c r="AP94" s="104">
        <f>IF('Tariff Inputs'!$E66=AP5,+VLOOKUP(AQ5,'Tariff Inputs'!$E66:$H66,4),0)</f>
        <v>0</v>
      </c>
      <c r="AQ94" s="104">
        <f>IF('Tariff Inputs'!$E66=AQ5,+VLOOKUP(AR5,'Tariff Inputs'!$E66:$H66,4),0)</f>
        <v>0</v>
      </c>
      <c r="AR94" s="110">
        <f>IF('Tariff Inputs'!$E66=AR5,+VLOOKUP(AS5,'Tariff Inputs'!$E66:$H66,4),0)</f>
        <v>0</v>
      </c>
    </row>
    <row r="95" spans="1:188" x14ac:dyDescent="0.2">
      <c r="C95" s="473" t="s">
        <v>275</v>
      </c>
      <c r="D95" s="12"/>
      <c r="E95" s="451">
        <f>IF(E5&lt;='Tariff Inputs'!$D17,(1+E26)^(E5-1),0)</f>
        <v>1</v>
      </c>
      <c r="F95" s="451">
        <f>IF(F5&lt;='Tariff Inputs'!$D17,(1+F26)^(F5-1),0)</f>
        <v>1</v>
      </c>
      <c r="G95" s="451">
        <f>IF(G5&lt;='Tariff Inputs'!$D17,(1+G26)^(G5-1),0)</f>
        <v>1</v>
      </c>
      <c r="H95" s="451">
        <f>IF(H5&lt;='Tariff Inputs'!$D17,(1+H26)^(H5-1),0)</f>
        <v>1</v>
      </c>
      <c r="I95" s="451">
        <f>IF(I5&lt;='Tariff Inputs'!$D17,(1+I26)^(I5-1),0)</f>
        <v>1</v>
      </c>
      <c r="J95" s="451">
        <f>IF(J5&lt;='Tariff Inputs'!$D17,(1+J26)^(J5-1),0)</f>
        <v>1</v>
      </c>
      <c r="K95" s="451">
        <f>IF(K5&lt;='Tariff Inputs'!$D17,(1+K26)^(K5-1),0)</f>
        <v>1</v>
      </c>
      <c r="L95" s="451">
        <f>IF(L5&lt;='Tariff Inputs'!$D17,(1+L26)^(L5-1),0)</f>
        <v>1</v>
      </c>
      <c r="M95" s="451">
        <f>IF(M5&lt;='Tariff Inputs'!$D17,(1+M26)^(M5-1),0)</f>
        <v>1</v>
      </c>
      <c r="N95" s="451">
        <f>IF(N5&lt;='Tariff Inputs'!$D17,(1+N26)^(N5-1),0)</f>
        <v>1</v>
      </c>
      <c r="O95" s="451">
        <f>IF(O5&lt;='Tariff Inputs'!$D17,(1+O26)^(O5-1),0)</f>
        <v>1</v>
      </c>
      <c r="P95" s="451">
        <f>IF(P5&lt;='Tariff Inputs'!$D17,(1+P26)^(P5-1),0)</f>
        <v>1</v>
      </c>
      <c r="Q95" s="451">
        <f>IF(Q5&lt;='Tariff Inputs'!$D17,(1+Q26)^(Q5-1),0)</f>
        <v>1</v>
      </c>
      <c r="R95" s="451">
        <f>IF(R5&lt;='Tariff Inputs'!$D17,(1+R26)^(R5-1),0)</f>
        <v>1</v>
      </c>
      <c r="S95" s="451">
        <f>IF(S5&lt;='Tariff Inputs'!$D17,(1+S26)^(S5-1),0)</f>
        <v>1</v>
      </c>
      <c r="T95" s="451">
        <f>IF(T5&lt;='Tariff Inputs'!$D17,(1+T26)^(T5-1),0)</f>
        <v>1</v>
      </c>
      <c r="U95" s="451">
        <f>IF(U5&lt;='Tariff Inputs'!$D17,(1+U26)^(U5-1),0)</f>
        <v>1</v>
      </c>
      <c r="V95" s="451">
        <f>IF(V5&lt;='Tariff Inputs'!$D17,(1+V26)^(V5-1),0)</f>
        <v>1</v>
      </c>
      <c r="W95" s="451">
        <f>IF(W5&lt;='Tariff Inputs'!$D17,(1+W26)^(W5-1),0)</f>
        <v>1</v>
      </c>
      <c r="X95" s="451">
        <f>IF(X5&lt;='Tariff Inputs'!$D17,(1+X26)^(X5-1),0)</f>
        <v>1</v>
      </c>
      <c r="Y95" s="451">
        <f>IF(Y5&lt;='Tariff Inputs'!$D17,(1+Y26)^(Y5-1),0)</f>
        <v>1</v>
      </c>
      <c r="Z95" s="451">
        <f>IF(Z5&lt;='Tariff Inputs'!$D17,(1+Z26)^(Z5-1),0)</f>
        <v>1</v>
      </c>
      <c r="AA95" s="451">
        <f>IF(AA5&lt;='Tariff Inputs'!$D17,(1+AA26)^(AA5-1),0)</f>
        <v>1</v>
      </c>
      <c r="AB95" s="451">
        <f>IF(AB5&lt;='Tariff Inputs'!$D17,(1+AB26)^(AB5-1),0)</f>
        <v>1</v>
      </c>
      <c r="AC95" s="451">
        <f>IF(AC5&lt;='Tariff Inputs'!$D17,(1+AC26)^(AC5-1),0)</f>
        <v>1</v>
      </c>
      <c r="AD95" s="451">
        <f>IF(AD5&lt;='Tariff Inputs'!$D17,(1+AD26)^(AD5-1),0)</f>
        <v>0</v>
      </c>
      <c r="AE95" s="451">
        <f>IF(AE5&lt;='Tariff Inputs'!$D17,(1+AE26)^(AE5-1),0)</f>
        <v>0</v>
      </c>
      <c r="AF95" s="451">
        <f>IF(AF5&lt;='Tariff Inputs'!$D17,(1+AF26)^(AF5-1),0)</f>
        <v>0</v>
      </c>
      <c r="AG95" s="451">
        <f>IF(AG5&lt;='Tariff Inputs'!$D17,(1+AG26)^(AG5-1),0)</f>
        <v>0</v>
      </c>
      <c r="AH95" s="451">
        <f>IF(AH5&lt;='Tariff Inputs'!$D17,(1+AH26)^(AH5-1),0)</f>
        <v>0</v>
      </c>
      <c r="AI95" s="451">
        <f>IF(AI5&lt;='Tariff Inputs'!$D17,(1+AI26)^(AI5-1),0)</f>
        <v>0</v>
      </c>
      <c r="AJ95" s="451">
        <f>IF(AJ5&lt;='Tariff Inputs'!$D17,(1+AJ26)^(AJ5-1),0)</f>
        <v>0</v>
      </c>
      <c r="AK95" s="451">
        <f>IF(AK5&lt;='Tariff Inputs'!$D17,(1+AK26)^(AK5-1),0)</f>
        <v>0</v>
      </c>
      <c r="AL95" s="451">
        <f>IF(AL5&lt;='Tariff Inputs'!$D17,(1+AL26)^(AL5-1),0)</f>
        <v>0</v>
      </c>
      <c r="AM95" s="451">
        <f>IF(AM5&lt;='Tariff Inputs'!$D17,(1+AM26)^(AM5-1),0)</f>
        <v>0</v>
      </c>
      <c r="AN95" s="451">
        <f>IF(AN5&lt;='Tariff Inputs'!$D17,(1+AN26)^(AN5-1),0)</f>
        <v>0</v>
      </c>
      <c r="AO95" s="451">
        <f>IF(AO5&lt;='Tariff Inputs'!$D17,(1+AO26)^(AO5-1),0)</f>
        <v>0</v>
      </c>
      <c r="AP95" s="451">
        <f>IF(AP5&lt;='Tariff Inputs'!$D17,(1+AP26)^(AP5-1),0)</f>
        <v>0</v>
      </c>
      <c r="AQ95" s="451">
        <f>IF(AQ5&lt;='Tariff Inputs'!$D17,(1+AQ26)^(AQ5-1),0)</f>
        <v>0</v>
      </c>
      <c r="AR95" s="452">
        <f>IF(AR5&lt;='Tariff Inputs'!$D17,(1+AR26)^(AR5-1),0)</f>
        <v>0</v>
      </c>
    </row>
    <row r="96" spans="1:188" s="102" customFormat="1" x14ac:dyDescent="0.2">
      <c r="A96" s="371"/>
      <c r="C96" s="474" t="s">
        <v>276</v>
      </c>
      <c r="D96" s="466" t="str">
        <f>'Tariff Inputs'!I65</f>
        <v>KES</v>
      </c>
      <c r="E96" s="101" t="e">
        <f>(E93+E94)*E95</f>
        <v>#DIV/0!</v>
      </c>
      <c r="F96" s="101" t="e">
        <f t="shared" ref="F96:AR96" si="44">(F93+F94)*F95</f>
        <v>#DIV/0!</v>
      </c>
      <c r="G96" s="101" t="e">
        <f t="shared" si="44"/>
        <v>#DIV/0!</v>
      </c>
      <c r="H96" s="101" t="e">
        <f t="shared" si="44"/>
        <v>#DIV/0!</v>
      </c>
      <c r="I96" s="101" t="e">
        <f t="shared" si="44"/>
        <v>#DIV/0!</v>
      </c>
      <c r="J96" s="101" t="e">
        <f t="shared" si="44"/>
        <v>#DIV/0!</v>
      </c>
      <c r="K96" s="101" t="e">
        <f t="shared" si="44"/>
        <v>#DIV/0!</v>
      </c>
      <c r="L96" s="101" t="e">
        <f t="shared" si="44"/>
        <v>#DIV/0!</v>
      </c>
      <c r="M96" s="101" t="e">
        <f t="shared" si="44"/>
        <v>#DIV/0!</v>
      </c>
      <c r="N96" s="101" t="e">
        <f t="shared" si="44"/>
        <v>#DIV/0!</v>
      </c>
      <c r="O96" s="101" t="e">
        <f t="shared" si="44"/>
        <v>#DIV/0!</v>
      </c>
      <c r="P96" s="101" t="e">
        <f t="shared" si="44"/>
        <v>#DIV/0!</v>
      </c>
      <c r="Q96" s="101" t="e">
        <f t="shared" si="44"/>
        <v>#DIV/0!</v>
      </c>
      <c r="R96" s="101" t="e">
        <f t="shared" si="44"/>
        <v>#DIV/0!</v>
      </c>
      <c r="S96" s="101" t="e">
        <f t="shared" si="44"/>
        <v>#DIV/0!</v>
      </c>
      <c r="T96" s="101" t="e">
        <f t="shared" si="44"/>
        <v>#DIV/0!</v>
      </c>
      <c r="U96" s="101" t="e">
        <f t="shared" si="44"/>
        <v>#DIV/0!</v>
      </c>
      <c r="V96" s="101" t="e">
        <f t="shared" si="44"/>
        <v>#DIV/0!</v>
      </c>
      <c r="W96" s="101" t="e">
        <f t="shared" si="44"/>
        <v>#DIV/0!</v>
      </c>
      <c r="X96" s="101" t="e">
        <f t="shared" si="44"/>
        <v>#DIV/0!</v>
      </c>
      <c r="Y96" s="101" t="e">
        <f t="shared" si="44"/>
        <v>#DIV/0!</v>
      </c>
      <c r="Z96" s="101" t="e">
        <f t="shared" si="44"/>
        <v>#DIV/0!</v>
      </c>
      <c r="AA96" s="101" t="e">
        <f t="shared" si="44"/>
        <v>#DIV/0!</v>
      </c>
      <c r="AB96" s="101" t="e">
        <f t="shared" si="44"/>
        <v>#DIV/0!</v>
      </c>
      <c r="AC96" s="101" t="e">
        <f t="shared" si="44"/>
        <v>#DIV/0!</v>
      </c>
      <c r="AD96" s="101" t="e">
        <f t="shared" si="44"/>
        <v>#DIV/0!</v>
      </c>
      <c r="AE96" s="101" t="e">
        <f t="shared" si="44"/>
        <v>#DIV/0!</v>
      </c>
      <c r="AF96" s="101" t="e">
        <f t="shared" si="44"/>
        <v>#DIV/0!</v>
      </c>
      <c r="AG96" s="101" t="e">
        <f t="shared" si="44"/>
        <v>#DIV/0!</v>
      </c>
      <c r="AH96" s="101" t="e">
        <f t="shared" si="44"/>
        <v>#DIV/0!</v>
      </c>
      <c r="AI96" s="101" t="e">
        <f t="shared" si="44"/>
        <v>#DIV/0!</v>
      </c>
      <c r="AJ96" s="101" t="e">
        <f t="shared" si="44"/>
        <v>#DIV/0!</v>
      </c>
      <c r="AK96" s="101" t="e">
        <f t="shared" si="44"/>
        <v>#DIV/0!</v>
      </c>
      <c r="AL96" s="101" t="e">
        <f t="shared" si="44"/>
        <v>#DIV/0!</v>
      </c>
      <c r="AM96" s="101" t="e">
        <f t="shared" si="44"/>
        <v>#DIV/0!</v>
      </c>
      <c r="AN96" s="101" t="e">
        <f t="shared" si="44"/>
        <v>#DIV/0!</v>
      </c>
      <c r="AO96" s="101" t="e">
        <f t="shared" si="44"/>
        <v>#DIV/0!</v>
      </c>
      <c r="AP96" s="101" t="e">
        <f t="shared" si="44"/>
        <v>#DIV/0!</v>
      </c>
      <c r="AQ96" s="101" t="e">
        <f t="shared" si="44"/>
        <v>#DIV/0!</v>
      </c>
      <c r="AR96" s="460" t="e">
        <f t="shared" si="44"/>
        <v>#DIV/0!</v>
      </c>
      <c r="AT96" s="371"/>
      <c r="AU96" s="371"/>
      <c r="AV96" s="371"/>
      <c r="AW96" s="371"/>
      <c r="AX96" s="371"/>
      <c r="AY96" s="371"/>
      <c r="AZ96" s="371"/>
      <c r="BA96" s="371"/>
      <c r="BB96" s="371"/>
      <c r="BC96" s="371"/>
      <c r="BD96" s="371"/>
      <c r="BE96" s="371"/>
      <c r="BF96" s="371"/>
      <c r="BG96" s="371"/>
      <c r="BH96" s="371"/>
      <c r="BI96" s="371"/>
      <c r="BJ96" s="371"/>
      <c r="BK96" s="371"/>
      <c r="BL96" s="371"/>
      <c r="BM96" s="371"/>
      <c r="BN96" s="371"/>
      <c r="BO96" s="371"/>
      <c r="BP96" s="371"/>
      <c r="BQ96" s="371"/>
      <c r="BR96" s="371"/>
      <c r="BS96" s="371"/>
      <c r="BT96" s="371"/>
      <c r="BU96" s="371"/>
      <c r="BV96" s="371"/>
      <c r="BW96" s="371"/>
      <c r="BX96" s="371"/>
      <c r="BY96" s="371"/>
      <c r="BZ96" s="371"/>
      <c r="CA96" s="371"/>
      <c r="CB96" s="371"/>
      <c r="CC96" s="371"/>
      <c r="CD96" s="371"/>
      <c r="CE96" s="371"/>
      <c r="CF96" s="371"/>
      <c r="CG96" s="371"/>
      <c r="CH96" s="371"/>
      <c r="CI96" s="371"/>
      <c r="CJ96" s="371"/>
      <c r="CK96" s="371"/>
      <c r="CL96" s="371"/>
      <c r="CM96" s="371"/>
      <c r="CN96" s="371"/>
      <c r="CO96" s="371"/>
      <c r="CP96" s="371"/>
      <c r="CQ96" s="371"/>
      <c r="CR96" s="371"/>
      <c r="CS96" s="371"/>
      <c r="CT96" s="371"/>
      <c r="CU96" s="371"/>
      <c r="CV96" s="371"/>
      <c r="CW96" s="371"/>
      <c r="CX96" s="371"/>
      <c r="CY96" s="371"/>
      <c r="CZ96" s="371"/>
      <c r="DA96" s="371"/>
      <c r="DB96" s="371"/>
      <c r="DC96" s="371"/>
      <c r="DD96" s="371"/>
      <c r="DE96" s="371"/>
      <c r="DF96" s="371"/>
      <c r="DG96" s="371"/>
      <c r="DH96" s="371"/>
      <c r="DI96" s="371"/>
      <c r="DJ96" s="371"/>
      <c r="DK96" s="371"/>
      <c r="DL96" s="371"/>
      <c r="DM96" s="371"/>
      <c r="DN96" s="371"/>
      <c r="DO96" s="371"/>
      <c r="DP96" s="371"/>
      <c r="DQ96" s="371"/>
      <c r="DR96" s="371"/>
      <c r="DS96" s="371"/>
      <c r="DT96" s="371"/>
      <c r="DU96" s="371"/>
      <c r="DV96" s="371"/>
      <c r="DW96" s="371"/>
      <c r="DX96" s="371"/>
      <c r="DY96" s="371"/>
      <c r="DZ96" s="371"/>
      <c r="EA96" s="371"/>
      <c r="EB96" s="371"/>
      <c r="EC96" s="371"/>
      <c r="ED96" s="371"/>
      <c r="EE96" s="371"/>
      <c r="EF96" s="371"/>
      <c r="EG96" s="371"/>
      <c r="EH96" s="371"/>
      <c r="EI96" s="371"/>
      <c r="EJ96" s="371"/>
      <c r="EK96" s="371"/>
      <c r="EL96" s="371"/>
      <c r="EM96" s="371"/>
      <c r="EN96" s="371"/>
      <c r="EO96" s="371"/>
      <c r="EP96" s="371"/>
      <c r="EQ96" s="371"/>
      <c r="ER96" s="371"/>
      <c r="ES96" s="371"/>
      <c r="ET96" s="371"/>
      <c r="EU96" s="371"/>
      <c r="EV96" s="371"/>
      <c r="EW96" s="371"/>
      <c r="EX96" s="371"/>
      <c r="EY96" s="371"/>
      <c r="EZ96" s="371"/>
      <c r="FA96" s="371"/>
      <c r="FB96" s="371"/>
      <c r="FC96" s="371"/>
      <c r="FD96" s="371"/>
      <c r="FE96" s="371"/>
      <c r="FF96" s="371"/>
      <c r="FG96" s="371"/>
      <c r="FH96" s="371"/>
      <c r="FI96" s="371"/>
      <c r="FJ96" s="371"/>
      <c r="FK96" s="371"/>
      <c r="FL96" s="371"/>
      <c r="FM96" s="371"/>
      <c r="FN96" s="371"/>
      <c r="FO96" s="371"/>
      <c r="FP96" s="371"/>
      <c r="FQ96" s="371"/>
      <c r="FR96" s="371"/>
      <c r="FS96" s="371"/>
      <c r="FT96" s="371"/>
      <c r="FU96" s="371"/>
      <c r="FV96" s="371"/>
      <c r="FW96" s="371"/>
      <c r="FX96" s="371"/>
      <c r="FY96" s="371"/>
      <c r="FZ96" s="371"/>
      <c r="GA96" s="371"/>
      <c r="GB96" s="371"/>
      <c r="GC96" s="371"/>
      <c r="GD96" s="371"/>
      <c r="GE96" s="371"/>
      <c r="GF96" s="371"/>
    </row>
    <row r="97" spans="1:188" x14ac:dyDescent="0.2">
      <c r="C97" s="476" t="s">
        <v>274</v>
      </c>
      <c r="D97" s="467" t="e">
        <f>'Capital Costs Details'!F151/'Capital Costs Details'!G151</f>
        <v>#DIV/0!</v>
      </c>
      <c r="E97" s="104" t="e">
        <f>$D97*(E25-E23)</f>
        <v>#DIV/0!</v>
      </c>
      <c r="F97" s="104" t="e">
        <f t="shared" ref="F97:AR97" si="45">$D97*(F25-F23)</f>
        <v>#DIV/0!</v>
      </c>
      <c r="G97" s="104" t="e">
        <f t="shared" si="45"/>
        <v>#DIV/0!</v>
      </c>
      <c r="H97" s="104" t="e">
        <f t="shared" si="45"/>
        <v>#DIV/0!</v>
      </c>
      <c r="I97" s="104" t="e">
        <f t="shared" si="45"/>
        <v>#DIV/0!</v>
      </c>
      <c r="J97" s="104" t="e">
        <f t="shared" si="45"/>
        <v>#DIV/0!</v>
      </c>
      <c r="K97" s="104" t="e">
        <f t="shared" si="45"/>
        <v>#DIV/0!</v>
      </c>
      <c r="L97" s="104" t="e">
        <f t="shared" si="45"/>
        <v>#DIV/0!</v>
      </c>
      <c r="M97" s="104" t="e">
        <f t="shared" si="45"/>
        <v>#DIV/0!</v>
      </c>
      <c r="N97" s="104" t="e">
        <f t="shared" si="45"/>
        <v>#DIV/0!</v>
      </c>
      <c r="O97" s="104" t="e">
        <f t="shared" si="45"/>
        <v>#DIV/0!</v>
      </c>
      <c r="P97" s="104" t="e">
        <f t="shared" si="45"/>
        <v>#DIV/0!</v>
      </c>
      <c r="Q97" s="104" t="e">
        <f t="shared" si="45"/>
        <v>#DIV/0!</v>
      </c>
      <c r="R97" s="104" t="e">
        <f t="shared" si="45"/>
        <v>#DIV/0!</v>
      </c>
      <c r="S97" s="104" t="e">
        <f t="shared" si="45"/>
        <v>#DIV/0!</v>
      </c>
      <c r="T97" s="104" t="e">
        <f t="shared" si="45"/>
        <v>#DIV/0!</v>
      </c>
      <c r="U97" s="104" t="e">
        <f t="shared" si="45"/>
        <v>#DIV/0!</v>
      </c>
      <c r="V97" s="104" t="e">
        <f t="shared" si="45"/>
        <v>#DIV/0!</v>
      </c>
      <c r="W97" s="104" t="e">
        <f t="shared" si="45"/>
        <v>#DIV/0!</v>
      </c>
      <c r="X97" s="104" t="e">
        <f t="shared" si="45"/>
        <v>#DIV/0!</v>
      </c>
      <c r="Y97" s="104" t="e">
        <f t="shared" si="45"/>
        <v>#DIV/0!</v>
      </c>
      <c r="Z97" s="104" t="e">
        <f t="shared" si="45"/>
        <v>#DIV/0!</v>
      </c>
      <c r="AA97" s="104" t="e">
        <f t="shared" si="45"/>
        <v>#DIV/0!</v>
      </c>
      <c r="AB97" s="104" t="e">
        <f t="shared" si="45"/>
        <v>#DIV/0!</v>
      </c>
      <c r="AC97" s="104" t="e">
        <f t="shared" si="45"/>
        <v>#DIV/0!</v>
      </c>
      <c r="AD97" s="104" t="e">
        <f t="shared" si="45"/>
        <v>#DIV/0!</v>
      </c>
      <c r="AE97" s="104" t="e">
        <f t="shared" si="45"/>
        <v>#DIV/0!</v>
      </c>
      <c r="AF97" s="104" t="e">
        <f t="shared" si="45"/>
        <v>#DIV/0!</v>
      </c>
      <c r="AG97" s="104" t="e">
        <f t="shared" si="45"/>
        <v>#DIV/0!</v>
      </c>
      <c r="AH97" s="104" t="e">
        <f t="shared" si="45"/>
        <v>#DIV/0!</v>
      </c>
      <c r="AI97" s="104" t="e">
        <f t="shared" si="45"/>
        <v>#DIV/0!</v>
      </c>
      <c r="AJ97" s="104" t="e">
        <f t="shared" si="45"/>
        <v>#DIV/0!</v>
      </c>
      <c r="AK97" s="104" t="e">
        <f t="shared" si="45"/>
        <v>#DIV/0!</v>
      </c>
      <c r="AL97" s="104" t="e">
        <f t="shared" si="45"/>
        <v>#DIV/0!</v>
      </c>
      <c r="AM97" s="104" t="e">
        <f t="shared" si="45"/>
        <v>#DIV/0!</v>
      </c>
      <c r="AN97" s="104" t="e">
        <f t="shared" si="45"/>
        <v>#DIV/0!</v>
      </c>
      <c r="AO97" s="104" t="e">
        <f t="shared" si="45"/>
        <v>#DIV/0!</v>
      </c>
      <c r="AP97" s="104" t="e">
        <f t="shared" si="45"/>
        <v>#DIV/0!</v>
      </c>
      <c r="AQ97" s="104" t="e">
        <f t="shared" si="45"/>
        <v>#DIV/0!</v>
      </c>
      <c r="AR97" s="18" t="e">
        <f t="shared" si="45"/>
        <v>#DIV/0!</v>
      </c>
    </row>
    <row r="98" spans="1:188" x14ac:dyDescent="0.2">
      <c r="C98" s="475" t="s">
        <v>566</v>
      </c>
      <c r="D98" s="467"/>
      <c r="E98" s="104">
        <f>IF('Tariff Inputs'!$E67=E5,+VLOOKUP(F5,'Tariff Inputs'!$E67:$H67,4),0)</f>
        <v>0</v>
      </c>
      <c r="F98" s="104">
        <f>IF('Tariff Inputs'!$E67=F5,+VLOOKUP(G5,'Tariff Inputs'!$E67:$H67,4),0)</f>
        <v>0</v>
      </c>
      <c r="G98" s="104">
        <f>IF('Tariff Inputs'!$E67=G5,+VLOOKUP(H5,'Tariff Inputs'!$E67:$H67,4),0)</f>
        <v>0</v>
      </c>
      <c r="H98" s="104">
        <f>IF('Tariff Inputs'!$E67=H5,+VLOOKUP(I5,'Tariff Inputs'!$E67:$H67,4),0)</f>
        <v>0</v>
      </c>
      <c r="I98" s="104">
        <f>IF('Tariff Inputs'!$E67=I5,+VLOOKUP(J5,'Tariff Inputs'!$E67:$H67,4),0)</f>
        <v>0</v>
      </c>
      <c r="J98" s="104">
        <f>IF('Tariff Inputs'!$E67=J5,+VLOOKUP(K5,'Tariff Inputs'!$E67:$H67,4),0)</f>
        <v>0</v>
      </c>
      <c r="K98" s="104">
        <f>IF('Tariff Inputs'!$E67=K5,+VLOOKUP(L5,'Tariff Inputs'!$E67:$H67,4),0)</f>
        <v>0</v>
      </c>
      <c r="L98" s="104">
        <f>IF('Tariff Inputs'!$E67=L5,+VLOOKUP(M5,'Tariff Inputs'!$E67:$H67,4),0)</f>
        <v>0</v>
      </c>
      <c r="M98" s="104">
        <f>IF('Tariff Inputs'!$E67=M5,+VLOOKUP(N5,'Tariff Inputs'!$E67:$H67,4),0)</f>
        <v>0</v>
      </c>
      <c r="N98" s="104">
        <f>IF('Tariff Inputs'!$E67=N5,+VLOOKUP(O5,'Tariff Inputs'!$E67:$H67,4),0)</f>
        <v>0</v>
      </c>
      <c r="O98" s="104">
        <f>IF('Tariff Inputs'!$E67=O5,+VLOOKUP(P5,'Tariff Inputs'!$E67:$H67,4),0)</f>
        <v>0</v>
      </c>
      <c r="P98" s="104">
        <f>IF('Tariff Inputs'!$E67=P5,+VLOOKUP(Q5,'Tariff Inputs'!$E67:$H67,4),0)</f>
        <v>0</v>
      </c>
      <c r="Q98" s="104">
        <f>IF('Tariff Inputs'!$E67=Q5,+VLOOKUP(R5,'Tariff Inputs'!$E67:$H67,4),0)</f>
        <v>0</v>
      </c>
      <c r="R98" s="104">
        <f>IF('Tariff Inputs'!$E67=R5,+VLOOKUP(S5,'Tariff Inputs'!$E67:$H67,4),0)</f>
        <v>0</v>
      </c>
      <c r="S98" s="104">
        <f>IF('Tariff Inputs'!$E67=S5,+VLOOKUP(T5,'Tariff Inputs'!$E67:$H67,4),0)</f>
        <v>0</v>
      </c>
      <c r="T98" s="104">
        <f>IF('Tariff Inputs'!$E67=T5,+VLOOKUP(U5,'Tariff Inputs'!$E67:$H67,4),0)</f>
        <v>0</v>
      </c>
      <c r="U98" s="104">
        <f>IF('Tariff Inputs'!$E67=U5,+VLOOKUP(V5,'Tariff Inputs'!$E67:$H67,4),0)</f>
        <v>0</v>
      </c>
      <c r="V98" s="104">
        <f>IF('Tariff Inputs'!$E67=V5,+VLOOKUP(W5,'Tariff Inputs'!$E67:$H67,4),0)</f>
        <v>0</v>
      </c>
      <c r="W98" s="104">
        <f>IF('Tariff Inputs'!$E67=W5,+VLOOKUP(X5,'Tariff Inputs'!$E67:$H67,4),0)</f>
        <v>0</v>
      </c>
      <c r="X98" s="104">
        <f>IF('Tariff Inputs'!$E67=X5,+VLOOKUP(Y5,'Tariff Inputs'!$E67:$H67,4),0)</f>
        <v>0</v>
      </c>
      <c r="Y98" s="104">
        <f>IF('Tariff Inputs'!$E67=Y5,+VLOOKUP(Z5,'Tariff Inputs'!$E67:$H67,4),0)</f>
        <v>0</v>
      </c>
      <c r="Z98" s="104">
        <f>IF('Tariff Inputs'!$E67=Z5,+VLOOKUP(AA5,'Tariff Inputs'!$E67:$H67,4),0)</f>
        <v>0</v>
      </c>
      <c r="AA98" s="104">
        <f>IF('Tariff Inputs'!$E67=AA5,+VLOOKUP(AB5,'Tariff Inputs'!$E67:$H67,4),0)</f>
        <v>0</v>
      </c>
      <c r="AB98" s="104">
        <f>IF('Tariff Inputs'!$E67=AB5,+VLOOKUP(AC5,'Tariff Inputs'!$E67:$H67,4),0)</f>
        <v>0</v>
      </c>
      <c r="AC98" s="104">
        <f>IF('Tariff Inputs'!$E67=AC5,+VLOOKUP(AD5,'Tariff Inputs'!$E67:$H67,4),0)</f>
        <v>0</v>
      </c>
      <c r="AD98" s="104">
        <f>IF('Tariff Inputs'!$E67=AD5,+VLOOKUP(AE5,'Tariff Inputs'!$E67:$H67,4),0)</f>
        <v>0</v>
      </c>
      <c r="AE98" s="104">
        <f>IF('Tariff Inputs'!$E67=AE5,+VLOOKUP(AF5,'Tariff Inputs'!$E67:$H67,4),0)</f>
        <v>0</v>
      </c>
      <c r="AF98" s="104">
        <f>IF('Tariff Inputs'!$E67=AF5,+VLOOKUP(AG5,'Tariff Inputs'!$E67:$H67,4),0)</f>
        <v>0</v>
      </c>
      <c r="AG98" s="104">
        <f>IF('Tariff Inputs'!$E67=AG5,+VLOOKUP(AH5,'Tariff Inputs'!$E67:$H67,4),0)</f>
        <v>0</v>
      </c>
      <c r="AH98" s="104">
        <f>IF('Tariff Inputs'!$E67=AH5,+VLOOKUP(AI5,'Tariff Inputs'!$E67:$H67,4),0)</f>
        <v>0</v>
      </c>
      <c r="AI98" s="104">
        <f>IF('Tariff Inputs'!$E67=AI5,+VLOOKUP(AJ5,'Tariff Inputs'!$E67:$H67,4),0)</f>
        <v>0</v>
      </c>
      <c r="AJ98" s="104">
        <f>IF('Tariff Inputs'!$E67=AJ5,+VLOOKUP(AK5,'Tariff Inputs'!$E67:$H67,4),0)</f>
        <v>0</v>
      </c>
      <c r="AK98" s="104">
        <f>IF('Tariff Inputs'!$E67=AK5,+VLOOKUP(AL5,'Tariff Inputs'!$E67:$H67,4),0)</f>
        <v>0</v>
      </c>
      <c r="AL98" s="104">
        <f>IF('Tariff Inputs'!$E67=AL5,+VLOOKUP(AM5,'Tariff Inputs'!$E67:$H67,4),0)</f>
        <v>0</v>
      </c>
      <c r="AM98" s="104">
        <f>IF('Tariff Inputs'!$E67=AM5,+VLOOKUP(AN5,'Tariff Inputs'!$E67:$H67,4),0)</f>
        <v>0</v>
      </c>
      <c r="AN98" s="104">
        <f>IF('Tariff Inputs'!$E67=AN5,+VLOOKUP(AO5,'Tariff Inputs'!$E67:$H67,4),0)</f>
        <v>0</v>
      </c>
      <c r="AO98" s="104">
        <f>IF('Tariff Inputs'!$E67=AO5,+VLOOKUP(AP5,'Tariff Inputs'!$E67:$H67,4),0)</f>
        <v>0</v>
      </c>
      <c r="AP98" s="104">
        <f>IF('Tariff Inputs'!$E67=AP5,+VLOOKUP(AQ5,'Tariff Inputs'!$E67:$H67,4),0)</f>
        <v>0</v>
      </c>
      <c r="AQ98" s="104">
        <f>IF('Tariff Inputs'!$E67=AQ5,+VLOOKUP(AR5,'Tariff Inputs'!$E67:$H67,4),0)</f>
        <v>0</v>
      </c>
      <c r="AR98" s="110">
        <f>IF('Tariff Inputs'!$E67=AR5,+VLOOKUP(AS5,'Tariff Inputs'!$E67:$H67,4),0)</f>
        <v>0</v>
      </c>
    </row>
    <row r="99" spans="1:188" x14ac:dyDescent="0.2">
      <c r="C99" s="473" t="s">
        <v>275</v>
      </c>
      <c r="D99" s="12"/>
      <c r="E99" s="451">
        <f>IF(E5&lt;='Tariff Inputs'!$D17,(1+E26)^(E5-1),0)</f>
        <v>1</v>
      </c>
      <c r="F99" s="451">
        <f>IF(F5&lt;='Tariff Inputs'!$D17,(1+F26)^(F5-1),0)</f>
        <v>1</v>
      </c>
      <c r="G99" s="451">
        <f>IF(G5&lt;='Tariff Inputs'!$D17,(1+G26)^(G5-1),0)</f>
        <v>1</v>
      </c>
      <c r="H99" s="451">
        <f>IF(H5&lt;='Tariff Inputs'!$D17,(1+H26)^(H5-1),0)</f>
        <v>1</v>
      </c>
      <c r="I99" s="451">
        <f>IF(I5&lt;='Tariff Inputs'!$D17,(1+I26)^(I5-1),0)</f>
        <v>1</v>
      </c>
      <c r="J99" s="451">
        <f>IF(J5&lt;='Tariff Inputs'!$D17,(1+J26)^(J5-1),0)</f>
        <v>1</v>
      </c>
      <c r="K99" s="451">
        <f>IF(K5&lt;='Tariff Inputs'!$D17,(1+K26)^(K5-1),0)</f>
        <v>1</v>
      </c>
      <c r="L99" s="451">
        <f>IF(L5&lt;='Tariff Inputs'!$D17,(1+L26)^(L5-1),0)</f>
        <v>1</v>
      </c>
      <c r="M99" s="451">
        <f>IF(M5&lt;='Tariff Inputs'!$D17,(1+M26)^(M5-1),0)</f>
        <v>1</v>
      </c>
      <c r="N99" s="451">
        <f>IF(N5&lt;='Tariff Inputs'!$D17,(1+N26)^(N5-1),0)</f>
        <v>1</v>
      </c>
      <c r="O99" s="451">
        <f>IF(O5&lt;='Tariff Inputs'!$D17,(1+O26)^(O5-1),0)</f>
        <v>1</v>
      </c>
      <c r="P99" s="451">
        <f>IF(P5&lt;='Tariff Inputs'!$D17,(1+P26)^(P5-1),0)</f>
        <v>1</v>
      </c>
      <c r="Q99" s="451">
        <f>IF(Q5&lt;='Tariff Inputs'!$D17,(1+Q26)^(Q5-1),0)</f>
        <v>1</v>
      </c>
      <c r="R99" s="451">
        <f>IF(R5&lt;='Tariff Inputs'!$D17,(1+R26)^(R5-1),0)</f>
        <v>1</v>
      </c>
      <c r="S99" s="451">
        <f>IF(S5&lt;='Tariff Inputs'!$D17,(1+S26)^(S5-1),0)</f>
        <v>1</v>
      </c>
      <c r="T99" s="451">
        <f>IF(T5&lt;='Tariff Inputs'!$D17,(1+T26)^(T5-1),0)</f>
        <v>1</v>
      </c>
      <c r="U99" s="451">
        <f>IF(U5&lt;='Tariff Inputs'!$D17,(1+U26)^(U5-1),0)</f>
        <v>1</v>
      </c>
      <c r="V99" s="451">
        <f>IF(V5&lt;='Tariff Inputs'!$D17,(1+V26)^(V5-1),0)</f>
        <v>1</v>
      </c>
      <c r="W99" s="451">
        <f>IF(W5&lt;='Tariff Inputs'!$D17,(1+W26)^(W5-1),0)</f>
        <v>1</v>
      </c>
      <c r="X99" s="451">
        <f>IF(X5&lt;='Tariff Inputs'!$D17,(1+X26)^(X5-1),0)</f>
        <v>1</v>
      </c>
      <c r="Y99" s="451">
        <f>IF(Y5&lt;='Tariff Inputs'!$D17,(1+Y26)^(Y5-1),0)</f>
        <v>1</v>
      </c>
      <c r="Z99" s="451">
        <f>IF(Z5&lt;='Tariff Inputs'!$D17,(1+Z26)^(Z5-1),0)</f>
        <v>1</v>
      </c>
      <c r="AA99" s="451">
        <f>IF(AA5&lt;='Tariff Inputs'!$D17,(1+AA26)^(AA5-1),0)</f>
        <v>1</v>
      </c>
      <c r="AB99" s="451">
        <f>IF(AB5&lt;='Tariff Inputs'!$D17,(1+AB26)^(AB5-1),0)</f>
        <v>1</v>
      </c>
      <c r="AC99" s="451">
        <f>IF(AC5&lt;='Tariff Inputs'!$D17,(1+AC26)^(AC5-1),0)</f>
        <v>1</v>
      </c>
      <c r="AD99" s="451">
        <f>IF(AD5&lt;='Tariff Inputs'!$D17,(1+AD26)^(AD5-1),0)</f>
        <v>0</v>
      </c>
      <c r="AE99" s="451">
        <f>IF(AE5&lt;='Tariff Inputs'!$D17,(1+AE26)^(AE5-1),0)</f>
        <v>0</v>
      </c>
      <c r="AF99" s="451">
        <f>IF(AF5&lt;='Tariff Inputs'!$D17,(1+AF26)^(AF5-1),0)</f>
        <v>0</v>
      </c>
      <c r="AG99" s="451">
        <f>IF(AG5&lt;='Tariff Inputs'!$D17,(1+AG26)^(AG5-1),0)</f>
        <v>0</v>
      </c>
      <c r="AH99" s="451">
        <f>IF(AH5&lt;='Tariff Inputs'!$D17,(1+AH26)^(AH5-1),0)</f>
        <v>0</v>
      </c>
      <c r="AI99" s="451">
        <f>IF(AI5&lt;='Tariff Inputs'!$D17,(1+AI26)^(AI5-1),0)</f>
        <v>0</v>
      </c>
      <c r="AJ99" s="451">
        <f>IF(AJ5&lt;='Tariff Inputs'!$D17,(1+AJ26)^(AJ5-1),0)</f>
        <v>0</v>
      </c>
      <c r="AK99" s="451">
        <f>IF(AK5&lt;='Tariff Inputs'!$D17,(1+AK26)^(AK5-1),0)</f>
        <v>0</v>
      </c>
      <c r="AL99" s="451">
        <f>IF(AL5&lt;='Tariff Inputs'!$D17,(1+AL26)^(AL5-1),0)</f>
        <v>0</v>
      </c>
      <c r="AM99" s="451">
        <f>IF(AM5&lt;='Tariff Inputs'!$D17,(1+AM26)^(AM5-1),0)</f>
        <v>0</v>
      </c>
      <c r="AN99" s="451">
        <f>IF(AN5&lt;='Tariff Inputs'!$D17,(1+AN26)^(AN5-1),0)</f>
        <v>0</v>
      </c>
      <c r="AO99" s="451">
        <f>IF(AO5&lt;='Tariff Inputs'!$D17,(1+AO26)^(AO5-1),0)</f>
        <v>0</v>
      </c>
      <c r="AP99" s="451">
        <f>IF(AP5&lt;='Tariff Inputs'!$D17,(1+AP26)^(AP5-1),0)</f>
        <v>0</v>
      </c>
      <c r="AQ99" s="451">
        <f>IF(AQ5&lt;='Tariff Inputs'!$D17,(1+AQ26)^(AQ5-1),0)</f>
        <v>0</v>
      </c>
      <c r="AR99" s="452">
        <f>IF(AR5&lt;='Tariff Inputs'!$D17,(1+AR26)^(AR5-1),0)</f>
        <v>0</v>
      </c>
    </row>
    <row r="100" spans="1:188" s="102" customFormat="1" x14ac:dyDescent="0.2">
      <c r="A100" s="371"/>
      <c r="C100" s="474" t="s">
        <v>276</v>
      </c>
      <c r="D100" s="466" t="str">
        <f>'Tariff Inputs'!I65</f>
        <v>KES</v>
      </c>
      <c r="E100" s="101" t="e">
        <f>(E97+E98)*E99</f>
        <v>#DIV/0!</v>
      </c>
      <c r="F100" s="101" t="e">
        <f t="shared" ref="F100:AR100" si="46">(F97+F98)*F99</f>
        <v>#DIV/0!</v>
      </c>
      <c r="G100" s="101" t="e">
        <f t="shared" si="46"/>
        <v>#DIV/0!</v>
      </c>
      <c r="H100" s="101" t="e">
        <f t="shared" si="46"/>
        <v>#DIV/0!</v>
      </c>
      <c r="I100" s="101" t="e">
        <f t="shared" si="46"/>
        <v>#DIV/0!</v>
      </c>
      <c r="J100" s="101" t="e">
        <f t="shared" si="46"/>
        <v>#DIV/0!</v>
      </c>
      <c r="K100" s="101" t="e">
        <f t="shared" si="46"/>
        <v>#DIV/0!</v>
      </c>
      <c r="L100" s="101" t="e">
        <f t="shared" si="46"/>
        <v>#DIV/0!</v>
      </c>
      <c r="M100" s="101" t="e">
        <f t="shared" si="46"/>
        <v>#DIV/0!</v>
      </c>
      <c r="N100" s="101" t="e">
        <f t="shared" si="46"/>
        <v>#DIV/0!</v>
      </c>
      <c r="O100" s="101" t="e">
        <f t="shared" si="46"/>
        <v>#DIV/0!</v>
      </c>
      <c r="P100" s="101" t="e">
        <f t="shared" si="46"/>
        <v>#DIV/0!</v>
      </c>
      <c r="Q100" s="101" t="e">
        <f t="shared" si="46"/>
        <v>#DIV/0!</v>
      </c>
      <c r="R100" s="101" t="e">
        <f t="shared" si="46"/>
        <v>#DIV/0!</v>
      </c>
      <c r="S100" s="101" t="e">
        <f t="shared" si="46"/>
        <v>#DIV/0!</v>
      </c>
      <c r="T100" s="101" t="e">
        <f t="shared" si="46"/>
        <v>#DIV/0!</v>
      </c>
      <c r="U100" s="101" t="e">
        <f t="shared" si="46"/>
        <v>#DIV/0!</v>
      </c>
      <c r="V100" s="101" t="e">
        <f t="shared" si="46"/>
        <v>#DIV/0!</v>
      </c>
      <c r="W100" s="101" t="e">
        <f t="shared" si="46"/>
        <v>#DIV/0!</v>
      </c>
      <c r="X100" s="101" t="e">
        <f t="shared" si="46"/>
        <v>#DIV/0!</v>
      </c>
      <c r="Y100" s="101" t="e">
        <f t="shared" si="46"/>
        <v>#DIV/0!</v>
      </c>
      <c r="Z100" s="101" t="e">
        <f t="shared" si="46"/>
        <v>#DIV/0!</v>
      </c>
      <c r="AA100" s="101" t="e">
        <f t="shared" si="46"/>
        <v>#DIV/0!</v>
      </c>
      <c r="AB100" s="101" t="e">
        <f t="shared" si="46"/>
        <v>#DIV/0!</v>
      </c>
      <c r="AC100" s="101" t="e">
        <f t="shared" si="46"/>
        <v>#DIV/0!</v>
      </c>
      <c r="AD100" s="101" t="e">
        <f t="shared" si="46"/>
        <v>#DIV/0!</v>
      </c>
      <c r="AE100" s="101" t="e">
        <f t="shared" si="46"/>
        <v>#DIV/0!</v>
      </c>
      <c r="AF100" s="101" t="e">
        <f t="shared" si="46"/>
        <v>#DIV/0!</v>
      </c>
      <c r="AG100" s="101" t="e">
        <f t="shared" si="46"/>
        <v>#DIV/0!</v>
      </c>
      <c r="AH100" s="101" t="e">
        <f t="shared" si="46"/>
        <v>#DIV/0!</v>
      </c>
      <c r="AI100" s="101" t="e">
        <f t="shared" si="46"/>
        <v>#DIV/0!</v>
      </c>
      <c r="AJ100" s="101" t="e">
        <f t="shared" si="46"/>
        <v>#DIV/0!</v>
      </c>
      <c r="AK100" s="101" t="e">
        <f t="shared" si="46"/>
        <v>#DIV/0!</v>
      </c>
      <c r="AL100" s="101" t="e">
        <f t="shared" si="46"/>
        <v>#DIV/0!</v>
      </c>
      <c r="AM100" s="101" t="e">
        <f t="shared" si="46"/>
        <v>#DIV/0!</v>
      </c>
      <c r="AN100" s="101" t="e">
        <f t="shared" si="46"/>
        <v>#DIV/0!</v>
      </c>
      <c r="AO100" s="101" t="e">
        <f t="shared" si="46"/>
        <v>#DIV/0!</v>
      </c>
      <c r="AP100" s="101" t="e">
        <f t="shared" si="46"/>
        <v>#DIV/0!</v>
      </c>
      <c r="AQ100" s="101" t="e">
        <f t="shared" si="46"/>
        <v>#DIV/0!</v>
      </c>
      <c r="AR100" s="460" t="e">
        <f t="shared" si="46"/>
        <v>#DIV/0!</v>
      </c>
      <c r="AT100" s="371"/>
      <c r="AU100" s="371"/>
      <c r="AV100" s="371"/>
      <c r="AW100" s="371"/>
      <c r="AX100" s="371"/>
      <c r="AY100" s="371"/>
      <c r="AZ100" s="371"/>
      <c r="BA100" s="371"/>
      <c r="BB100" s="371"/>
      <c r="BC100" s="371"/>
      <c r="BD100" s="371"/>
      <c r="BE100" s="371"/>
      <c r="BF100" s="371"/>
      <c r="BG100" s="371"/>
      <c r="BH100" s="371"/>
      <c r="BI100" s="371"/>
      <c r="BJ100" s="371"/>
      <c r="BK100" s="371"/>
      <c r="BL100" s="371"/>
      <c r="BM100" s="371"/>
      <c r="BN100" s="371"/>
      <c r="BO100" s="371"/>
      <c r="BP100" s="371"/>
      <c r="BQ100" s="371"/>
      <c r="BR100" s="371"/>
      <c r="BS100" s="371"/>
      <c r="BT100" s="371"/>
      <c r="BU100" s="371"/>
      <c r="BV100" s="371"/>
      <c r="BW100" s="371"/>
      <c r="BX100" s="371"/>
      <c r="BY100" s="371"/>
      <c r="BZ100" s="371"/>
      <c r="CA100" s="371"/>
      <c r="CB100" s="371"/>
      <c r="CC100" s="371"/>
      <c r="CD100" s="371"/>
      <c r="CE100" s="371"/>
      <c r="CF100" s="371"/>
      <c r="CG100" s="371"/>
      <c r="CH100" s="371"/>
      <c r="CI100" s="371"/>
      <c r="CJ100" s="371"/>
      <c r="CK100" s="371"/>
      <c r="CL100" s="371"/>
      <c r="CM100" s="371"/>
      <c r="CN100" s="371"/>
      <c r="CO100" s="371"/>
      <c r="CP100" s="371"/>
      <c r="CQ100" s="371"/>
      <c r="CR100" s="371"/>
      <c r="CS100" s="371"/>
      <c r="CT100" s="371"/>
      <c r="CU100" s="371"/>
      <c r="CV100" s="371"/>
      <c r="CW100" s="371"/>
      <c r="CX100" s="371"/>
      <c r="CY100" s="371"/>
      <c r="CZ100" s="371"/>
      <c r="DA100" s="371"/>
      <c r="DB100" s="371"/>
      <c r="DC100" s="371"/>
      <c r="DD100" s="371"/>
      <c r="DE100" s="371"/>
      <c r="DF100" s="371"/>
      <c r="DG100" s="371"/>
      <c r="DH100" s="371"/>
      <c r="DI100" s="371"/>
      <c r="DJ100" s="371"/>
      <c r="DK100" s="371"/>
      <c r="DL100" s="371"/>
      <c r="DM100" s="371"/>
      <c r="DN100" s="371"/>
      <c r="DO100" s="371"/>
      <c r="DP100" s="371"/>
      <c r="DQ100" s="371"/>
      <c r="DR100" s="371"/>
      <c r="DS100" s="371"/>
      <c r="DT100" s="371"/>
      <c r="DU100" s="371"/>
      <c r="DV100" s="371"/>
      <c r="DW100" s="371"/>
      <c r="DX100" s="371"/>
      <c r="DY100" s="371"/>
      <c r="DZ100" s="371"/>
      <c r="EA100" s="371"/>
      <c r="EB100" s="371"/>
      <c r="EC100" s="371"/>
      <c r="ED100" s="371"/>
      <c r="EE100" s="371"/>
      <c r="EF100" s="371"/>
      <c r="EG100" s="371"/>
      <c r="EH100" s="371"/>
      <c r="EI100" s="371"/>
      <c r="EJ100" s="371"/>
      <c r="EK100" s="371"/>
      <c r="EL100" s="371"/>
      <c r="EM100" s="371"/>
      <c r="EN100" s="371"/>
      <c r="EO100" s="371"/>
      <c r="EP100" s="371"/>
      <c r="EQ100" s="371"/>
      <c r="ER100" s="371"/>
      <c r="ES100" s="371"/>
      <c r="ET100" s="371"/>
      <c r="EU100" s="371"/>
      <c r="EV100" s="371"/>
      <c r="EW100" s="371"/>
      <c r="EX100" s="371"/>
      <c r="EY100" s="371"/>
      <c r="EZ100" s="371"/>
      <c r="FA100" s="371"/>
      <c r="FB100" s="371"/>
      <c r="FC100" s="371"/>
      <c r="FD100" s="371"/>
      <c r="FE100" s="371"/>
      <c r="FF100" s="371"/>
      <c r="FG100" s="371"/>
      <c r="FH100" s="371"/>
      <c r="FI100" s="371"/>
      <c r="FJ100" s="371"/>
      <c r="FK100" s="371"/>
      <c r="FL100" s="371"/>
      <c r="FM100" s="371"/>
      <c r="FN100" s="371"/>
      <c r="FO100" s="371"/>
      <c r="FP100" s="371"/>
      <c r="FQ100" s="371"/>
      <c r="FR100" s="371"/>
      <c r="FS100" s="371"/>
      <c r="FT100" s="371"/>
      <c r="FU100" s="371"/>
      <c r="FV100" s="371"/>
      <c r="FW100" s="371"/>
      <c r="FX100" s="371"/>
      <c r="FY100" s="371"/>
      <c r="FZ100" s="371"/>
      <c r="GA100" s="371"/>
      <c r="GB100" s="371"/>
      <c r="GC100" s="371"/>
      <c r="GD100" s="371"/>
      <c r="GE100" s="371"/>
      <c r="GF100" s="371"/>
    </row>
    <row r="101" spans="1:188" x14ac:dyDescent="0.2">
      <c r="C101" s="120"/>
      <c r="D101" s="12"/>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10"/>
    </row>
    <row r="102" spans="1:188" s="23" customFormat="1" ht="15" x14ac:dyDescent="0.25">
      <c r="A102" s="372"/>
      <c r="C102" s="463" t="s">
        <v>295</v>
      </c>
      <c r="D102" s="468" t="str">
        <f>'Tariff Inputs'!I65</f>
        <v>KES</v>
      </c>
      <c r="E102" s="464" t="e">
        <f>E92+E96+E100</f>
        <v>#DIV/0!</v>
      </c>
      <c r="F102" s="461" t="e">
        <f t="shared" ref="F102:AR102" si="47">F92+F96+F100</f>
        <v>#DIV/0!</v>
      </c>
      <c r="G102" s="461" t="e">
        <f t="shared" si="47"/>
        <v>#DIV/0!</v>
      </c>
      <c r="H102" s="461" t="e">
        <f t="shared" si="47"/>
        <v>#DIV/0!</v>
      </c>
      <c r="I102" s="461" t="e">
        <f t="shared" si="47"/>
        <v>#DIV/0!</v>
      </c>
      <c r="J102" s="461" t="e">
        <f t="shared" si="47"/>
        <v>#DIV/0!</v>
      </c>
      <c r="K102" s="461" t="e">
        <f t="shared" si="47"/>
        <v>#DIV/0!</v>
      </c>
      <c r="L102" s="461" t="e">
        <f t="shared" si="47"/>
        <v>#DIV/0!</v>
      </c>
      <c r="M102" s="461" t="e">
        <f t="shared" si="47"/>
        <v>#DIV/0!</v>
      </c>
      <c r="N102" s="461" t="e">
        <f t="shared" si="47"/>
        <v>#DIV/0!</v>
      </c>
      <c r="O102" s="461" t="e">
        <f t="shared" si="47"/>
        <v>#DIV/0!</v>
      </c>
      <c r="P102" s="461" t="e">
        <f t="shared" si="47"/>
        <v>#DIV/0!</v>
      </c>
      <c r="Q102" s="461" t="e">
        <f t="shared" si="47"/>
        <v>#DIV/0!</v>
      </c>
      <c r="R102" s="461" t="e">
        <f t="shared" si="47"/>
        <v>#DIV/0!</v>
      </c>
      <c r="S102" s="461" t="e">
        <f t="shared" si="47"/>
        <v>#DIV/0!</v>
      </c>
      <c r="T102" s="461" t="e">
        <f t="shared" si="47"/>
        <v>#DIV/0!</v>
      </c>
      <c r="U102" s="461" t="e">
        <f t="shared" si="47"/>
        <v>#DIV/0!</v>
      </c>
      <c r="V102" s="461" t="e">
        <f t="shared" si="47"/>
        <v>#DIV/0!</v>
      </c>
      <c r="W102" s="461" t="e">
        <f t="shared" si="47"/>
        <v>#DIV/0!</v>
      </c>
      <c r="X102" s="461" t="e">
        <f t="shared" si="47"/>
        <v>#DIV/0!</v>
      </c>
      <c r="Y102" s="461" t="e">
        <f t="shared" si="47"/>
        <v>#DIV/0!</v>
      </c>
      <c r="Z102" s="461" t="e">
        <f t="shared" si="47"/>
        <v>#DIV/0!</v>
      </c>
      <c r="AA102" s="461" t="e">
        <f t="shared" si="47"/>
        <v>#DIV/0!</v>
      </c>
      <c r="AB102" s="461" t="e">
        <f t="shared" si="47"/>
        <v>#DIV/0!</v>
      </c>
      <c r="AC102" s="461" t="e">
        <f t="shared" si="47"/>
        <v>#DIV/0!</v>
      </c>
      <c r="AD102" s="461" t="e">
        <f t="shared" si="47"/>
        <v>#DIV/0!</v>
      </c>
      <c r="AE102" s="461" t="e">
        <f t="shared" si="47"/>
        <v>#DIV/0!</v>
      </c>
      <c r="AF102" s="461" t="e">
        <f t="shared" si="47"/>
        <v>#DIV/0!</v>
      </c>
      <c r="AG102" s="461" t="e">
        <f t="shared" si="47"/>
        <v>#DIV/0!</v>
      </c>
      <c r="AH102" s="461" t="e">
        <f t="shared" si="47"/>
        <v>#DIV/0!</v>
      </c>
      <c r="AI102" s="461" t="e">
        <f t="shared" si="47"/>
        <v>#DIV/0!</v>
      </c>
      <c r="AJ102" s="461" t="e">
        <f t="shared" si="47"/>
        <v>#DIV/0!</v>
      </c>
      <c r="AK102" s="461" t="e">
        <f t="shared" si="47"/>
        <v>#DIV/0!</v>
      </c>
      <c r="AL102" s="461" t="e">
        <f t="shared" si="47"/>
        <v>#DIV/0!</v>
      </c>
      <c r="AM102" s="461" t="e">
        <f t="shared" si="47"/>
        <v>#DIV/0!</v>
      </c>
      <c r="AN102" s="461" t="e">
        <f t="shared" si="47"/>
        <v>#DIV/0!</v>
      </c>
      <c r="AO102" s="461" t="e">
        <f t="shared" si="47"/>
        <v>#DIV/0!</v>
      </c>
      <c r="AP102" s="461" t="e">
        <f t="shared" si="47"/>
        <v>#DIV/0!</v>
      </c>
      <c r="AQ102" s="461" t="e">
        <f t="shared" si="47"/>
        <v>#DIV/0!</v>
      </c>
      <c r="AR102" s="462" t="e">
        <f t="shared" si="47"/>
        <v>#DIV/0!</v>
      </c>
      <c r="AT102" s="372"/>
      <c r="AU102" s="372"/>
      <c r="AV102" s="372"/>
      <c r="AW102" s="372"/>
      <c r="AX102" s="372"/>
      <c r="AY102" s="372"/>
      <c r="AZ102" s="372"/>
      <c r="BA102" s="372"/>
      <c r="BB102" s="372"/>
      <c r="BC102" s="372"/>
      <c r="BD102" s="372"/>
      <c r="BE102" s="372"/>
      <c r="BF102" s="372"/>
      <c r="BG102" s="372"/>
      <c r="BH102" s="372"/>
      <c r="BI102" s="372"/>
      <c r="BJ102" s="372"/>
      <c r="BK102" s="372"/>
      <c r="BL102" s="372"/>
      <c r="BM102" s="372"/>
      <c r="BN102" s="372"/>
      <c r="BO102" s="372"/>
      <c r="BP102" s="372"/>
      <c r="BQ102" s="372"/>
      <c r="BR102" s="372"/>
      <c r="BS102" s="372"/>
      <c r="BT102" s="372"/>
      <c r="BU102" s="372"/>
      <c r="BV102" s="372"/>
      <c r="BW102" s="372"/>
      <c r="BX102" s="372"/>
      <c r="BY102" s="372"/>
      <c r="BZ102" s="372"/>
      <c r="CA102" s="372"/>
      <c r="CB102" s="372"/>
      <c r="CC102" s="372"/>
      <c r="CD102" s="372"/>
      <c r="CE102" s="372"/>
      <c r="CF102" s="372"/>
      <c r="CG102" s="372"/>
      <c r="CH102" s="372"/>
      <c r="CI102" s="372"/>
      <c r="CJ102" s="372"/>
      <c r="CK102" s="372"/>
      <c r="CL102" s="372"/>
      <c r="CM102" s="372"/>
      <c r="CN102" s="372"/>
      <c r="CO102" s="372"/>
      <c r="CP102" s="372"/>
      <c r="CQ102" s="372"/>
      <c r="CR102" s="372"/>
      <c r="CS102" s="372"/>
      <c r="CT102" s="372"/>
      <c r="CU102" s="372"/>
      <c r="CV102" s="372"/>
      <c r="CW102" s="372"/>
      <c r="CX102" s="372"/>
      <c r="CY102" s="372"/>
      <c r="CZ102" s="372"/>
      <c r="DA102" s="372"/>
      <c r="DB102" s="372"/>
      <c r="DC102" s="372"/>
      <c r="DD102" s="372"/>
      <c r="DE102" s="372"/>
      <c r="DF102" s="372"/>
      <c r="DG102" s="372"/>
      <c r="DH102" s="372"/>
      <c r="DI102" s="372"/>
      <c r="DJ102" s="372"/>
      <c r="DK102" s="372"/>
      <c r="DL102" s="372"/>
      <c r="DM102" s="372"/>
      <c r="DN102" s="372"/>
      <c r="DO102" s="372"/>
      <c r="DP102" s="372"/>
      <c r="DQ102" s="372"/>
      <c r="DR102" s="372"/>
      <c r="DS102" s="372"/>
      <c r="DT102" s="372"/>
      <c r="DU102" s="372"/>
      <c r="DV102" s="372"/>
      <c r="DW102" s="372"/>
      <c r="DX102" s="372"/>
      <c r="DY102" s="372"/>
      <c r="DZ102" s="372"/>
      <c r="EA102" s="372"/>
      <c r="EB102" s="372"/>
      <c r="EC102" s="372"/>
      <c r="ED102" s="372"/>
      <c r="EE102" s="372"/>
      <c r="EF102" s="372"/>
      <c r="EG102" s="372"/>
      <c r="EH102" s="372"/>
      <c r="EI102" s="372"/>
      <c r="EJ102" s="372"/>
      <c r="EK102" s="372"/>
      <c r="EL102" s="372"/>
      <c r="EM102" s="372"/>
      <c r="EN102" s="372"/>
      <c r="EO102" s="372"/>
      <c r="EP102" s="372"/>
      <c r="EQ102" s="372"/>
      <c r="ER102" s="372"/>
      <c r="ES102" s="372"/>
      <c r="ET102" s="372"/>
      <c r="EU102" s="372"/>
      <c r="EV102" s="372"/>
      <c r="EW102" s="372"/>
      <c r="EX102" s="372"/>
      <c r="EY102" s="372"/>
      <c r="EZ102" s="372"/>
      <c r="FA102" s="372"/>
      <c r="FB102" s="372"/>
      <c r="FC102" s="372"/>
      <c r="FD102" s="372"/>
      <c r="FE102" s="372"/>
      <c r="FF102" s="372"/>
      <c r="FG102" s="372"/>
      <c r="FH102" s="372"/>
      <c r="FI102" s="372"/>
      <c r="FJ102" s="372"/>
      <c r="FK102" s="372"/>
      <c r="FL102" s="372"/>
      <c r="FM102" s="372"/>
      <c r="FN102" s="372"/>
      <c r="FO102" s="372"/>
      <c r="FP102" s="372"/>
      <c r="FQ102" s="372"/>
      <c r="FR102" s="372"/>
      <c r="FS102" s="372"/>
      <c r="FT102" s="372"/>
      <c r="FU102" s="372"/>
      <c r="FV102" s="372"/>
      <c r="FW102" s="372"/>
      <c r="FX102" s="372"/>
      <c r="FY102" s="372"/>
      <c r="FZ102" s="372"/>
      <c r="GA102" s="372"/>
      <c r="GB102" s="372"/>
      <c r="GC102" s="372"/>
      <c r="GD102" s="372"/>
      <c r="GE102" s="372"/>
      <c r="GF102" s="372"/>
    </row>
    <row r="106" spans="1:188" s="174" customFormat="1" x14ac:dyDescent="0.2">
      <c r="D106" s="173"/>
    </row>
    <row r="107" spans="1:188" s="174" customFormat="1" x14ac:dyDescent="0.2">
      <c r="D107" s="173"/>
    </row>
    <row r="108" spans="1:188" s="174" customFormat="1" x14ac:dyDescent="0.2">
      <c r="D108" s="173"/>
    </row>
    <row r="109" spans="1:188" s="174" customFormat="1" x14ac:dyDescent="0.2">
      <c r="D109" s="173"/>
    </row>
    <row r="110" spans="1:188" s="174" customFormat="1" x14ac:dyDescent="0.2">
      <c r="D110" s="173"/>
    </row>
    <row r="111" spans="1:188" s="174" customFormat="1" x14ac:dyDescent="0.2">
      <c r="D111" s="173"/>
    </row>
    <row r="112" spans="1:188" s="174" customFormat="1" x14ac:dyDescent="0.2">
      <c r="D112" s="173"/>
    </row>
    <row r="113" spans="4:4" s="174" customFormat="1" x14ac:dyDescent="0.2">
      <c r="D113" s="173"/>
    </row>
    <row r="114" spans="4:4" s="174" customFormat="1" x14ac:dyDescent="0.2">
      <c r="D114" s="173"/>
    </row>
    <row r="115" spans="4:4" s="174" customFormat="1" x14ac:dyDescent="0.2">
      <c r="D115" s="173"/>
    </row>
    <row r="116" spans="4:4" s="174" customFormat="1" x14ac:dyDescent="0.2">
      <c r="D116" s="173"/>
    </row>
    <row r="117" spans="4:4" s="174" customFormat="1" x14ac:dyDescent="0.2">
      <c r="D117" s="173"/>
    </row>
    <row r="118" spans="4:4" s="174" customFormat="1" x14ac:dyDescent="0.2">
      <c r="D118" s="173"/>
    </row>
    <row r="119" spans="4:4" s="174" customFormat="1" x14ac:dyDescent="0.2">
      <c r="D119" s="173"/>
    </row>
    <row r="120" spans="4:4" s="174" customFormat="1" x14ac:dyDescent="0.2">
      <c r="D120" s="173"/>
    </row>
    <row r="121" spans="4:4" s="174" customFormat="1" x14ac:dyDescent="0.2">
      <c r="D121" s="173"/>
    </row>
    <row r="122" spans="4:4" s="174" customFormat="1" x14ac:dyDescent="0.2">
      <c r="D122" s="173"/>
    </row>
    <row r="123" spans="4:4" s="174" customFormat="1" x14ac:dyDescent="0.2">
      <c r="D123" s="173"/>
    </row>
    <row r="124" spans="4:4" s="174" customFormat="1" x14ac:dyDescent="0.2">
      <c r="D124" s="173"/>
    </row>
    <row r="125" spans="4:4" s="174" customFormat="1" x14ac:dyDescent="0.2">
      <c r="D125" s="173"/>
    </row>
    <row r="126" spans="4:4" s="174" customFormat="1" x14ac:dyDescent="0.2">
      <c r="D126" s="173"/>
    </row>
    <row r="127" spans="4:4" s="174" customFormat="1" x14ac:dyDescent="0.2">
      <c r="D127" s="173"/>
    </row>
    <row r="128" spans="4:4" s="174" customFormat="1" x14ac:dyDescent="0.2">
      <c r="D128" s="173"/>
    </row>
    <row r="129" spans="4:4" s="174" customFormat="1" x14ac:dyDescent="0.2">
      <c r="D129" s="173"/>
    </row>
    <row r="130" spans="4:4" s="174" customFormat="1" x14ac:dyDescent="0.2">
      <c r="D130" s="173"/>
    </row>
    <row r="131" spans="4:4" s="174" customFormat="1" x14ac:dyDescent="0.2">
      <c r="D131" s="173"/>
    </row>
    <row r="132" spans="4:4" s="174" customFormat="1" x14ac:dyDescent="0.2">
      <c r="D132" s="173"/>
    </row>
    <row r="133" spans="4:4" s="174" customFormat="1" x14ac:dyDescent="0.2">
      <c r="D133" s="173"/>
    </row>
    <row r="134" spans="4:4" s="174" customFormat="1" x14ac:dyDescent="0.2">
      <c r="D134" s="173"/>
    </row>
    <row r="135" spans="4:4" s="174" customFormat="1" x14ac:dyDescent="0.2">
      <c r="D135" s="173"/>
    </row>
    <row r="136" spans="4:4" s="174" customFormat="1" x14ac:dyDescent="0.2">
      <c r="D136" s="173"/>
    </row>
    <row r="137" spans="4:4" s="174" customFormat="1" x14ac:dyDescent="0.2">
      <c r="D137" s="173"/>
    </row>
    <row r="138" spans="4:4" s="174" customFormat="1" x14ac:dyDescent="0.2">
      <c r="D138" s="173"/>
    </row>
    <row r="139" spans="4:4" s="174" customFormat="1" x14ac:dyDescent="0.2">
      <c r="D139" s="173"/>
    </row>
    <row r="140" spans="4:4" s="174" customFormat="1" x14ac:dyDescent="0.2">
      <c r="D140" s="173"/>
    </row>
    <row r="141" spans="4:4" s="174" customFormat="1" x14ac:dyDescent="0.2">
      <c r="D141" s="173"/>
    </row>
    <row r="142" spans="4:4" s="174" customFormat="1" x14ac:dyDescent="0.2">
      <c r="D142" s="173"/>
    </row>
    <row r="143" spans="4:4" s="174" customFormat="1" x14ac:dyDescent="0.2">
      <c r="D143" s="173"/>
    </row>
    <row r="144" spans="4:4" s="174" customFormat="1" x14ac:dyDescent="0.2">
      <c r="D144" s="173"/>
    </row>
    <row r="145" spans="4:4" s="174" customFormat="1" x14ac:dyDescent="0.2">
      <c r="D145" s="173"/>
    </row>
    <row r="146" spans="4:4" s="174" customFormat="1" x14ac:dyDescent="0.2">
      <c r="D146" s="173"/>
    </row>
    <row r="147" spans="4:4" s="174" customFormat="1" x14ac:dyDescent="0.2">
      <c r="D147" s="173"/>
    </row>
    <row r="148" spans="4:4" s="174" customFormat="1" x14ac:dyDescent="0.2">
      <c r="D148" s="173"/>
    </row>
    <row r="149" spans="4:4" s="174" customFormat="1" x14ac:dyDescent="0.2">
      <c r="D149" s="173"/>
    </row>
    <row r="150" spans="4:4" s="174" customFormat="1" x14ac:dyDescent="0.2">
      <c r="D150" s="173"/>
    </row>
    <row r="151" spans="4:4" s="174" customFormat="1" x14ac:dyDescent="0.2">
      <c r="D151" s="173"/>
    </row>
    <row r="152" spans="4:4" s="174" customFormat="1" x14ac:dyDescent="0.2">
      <c r="D152" s="173"/>
    </row>
    <row r="153" spans="4:4" s="174" customFormat="1" x14ac:dyDescent="0.2">
      <c r="D153" s="173"/>
    </row>
    <row r="154" spans="4:4" s="174" customFormat="1" x14ac:dyDescent="0.2">
      <c r="D154" s="173"/>
    </row>
    <row r="155" spans="4:4" s="174" customFormat="1" x14ac:dyDescent="0.2">
      <c r="D155" s="173"/>
    </row>
    <row r="156" spans="4:4" s="174" customFormat="1" x14ac:dyDescent="0.2">
      <c r="D156" s="173"/>
    </row>
    <row r="157" spans="4:4" s="174" customFormat="1" x14ac:dyDescent="0.2">
      <c r="D157" s="173"/>
    </row>
    <row r="158" spans="4:4" s="174" customFormat="1" x14ac:dyDescent="0.2">
      <c r="D158" s="173"/>
    </row>
    <row r="159" spans="4:4" s="174" customFormat="1" x14ac:dyDescent="0.2">
      <c r="D159" s="173"/>
    </row>
    <row r="160" spans="4:4" s="174" customFormat="1" x14ac:dyDescent="0.2">
      <c r="D160" s="173"/>
    </row>
    <row r="161" spans="4:4" s="174" customFormat="1" x14ac:dyDescent="0.2">
      <c r="D161" s="173"/>
    </row>
    <row r="162" spans="4:4" s="174" customFormat="1" x14ac:dyDescent="0.2">
      <c r="D162" s="173"/>
    </row>
    <row r="163" spans="4:4" s="174" customFormat="1" x14ac:dyDescent="0.2">
      <c r="D163" s="173"/>
    </row>
    <row r="164" spans="4:4" s="174" customFormat="1" x14ac:dyDescent="0.2">
      <c r="D164" s="173"/>
    </row>
    <row r="165" spans="4:4" s="174" customFormat="1" x14ac:dyDescent="0.2">
      <c r="D165" s="173"/>
    </row>
    <row r="166" spans="4:4" s="174" customFormat="1" x14ac:dyDescent="0.2">
      <c r="D166" s="173"/>
    </row>
    <row r="167" spans="4:4" s="174" customFormat="1" x14ac:dyDescent="0.2">
      <c r="D167" s="173"/>
    </row>
    <row r="168" spans="4:4" s="174" customFormat="1" x14ac:dyDescent="0.2">
      <c r="D168" s="173"/>
    </row>
    <row r="169" spans="4:4" s="174" customFormat="1" x14ac:dyDescent="0.2">
      <c r="D169" s="173"/>
    </row>
    <row r="170" spans="4:4" s="174" customFormat="1" x14ac:dyDescent="0.2">
      <c r="D170" s="173"/>
    </row>
    <row r="171" spans="4:4" s="174" customFormat="1" x14ac:dyDescent="0.2">
      <c r="D171" s="173"/>
    </row>
    <row r="172" spans="4:4" s="174" customFormat="1" x14ac:dyDescent="0.2">
      <c r="D172" s="173"/>
    </row>
    <row r="173" spans="4:4" s="174" customFormat="1" x14ac:dyDescent="0.2">
      <c r="D173" s="173"/>
    </row>
    <row r="174" spans="4:4" s="174" customFormat="1" x14ac:dyDescent="0.2">
      <c r="D174" s="173"/>
    </row>
    <row r="175" spans="4:4" s="174" customFormat="1" x14ac:dyDescent="0.2">
      <c r="D175" s="173"/>
    </row>
    <row r="176" spans="4:4" s="174" customFormat="1" x14ac:dyDescent="0.2">
      <c r="D176" s="173"/>
    </row>
    <row r="177" spans="4:4" s="174" customFormat="1" x14ac:dyDescent="0.2">
      <c r="D177" s="173"/>
    </row>
    <row r="178" spans="4:4" s="174" customFormat="1" x14ac:dyDescent="0.2">
      <c r="D178" s="173"/>
    </row>
    <row r="179" spans="4:4" s="174" customFormat="1" x14ac:dyDescent="0.2">
      <c r="D179" s="173"/>
    </row>
    <row r="180" spans="4:4" s="174" customFormat="1" x14ac:dyDescent="0.2">
      <c r="D180" s="173"/>
    </row>
    <row r="181" spans="4:4" s="174" customFormat="1" x14ac:dyDescent="0.2">
      <c r="D181" s="173"/>
    </row>
    <row r="182" spans="4:4" s="174" customFormat="1" x14ac:dyDescent="0.2">
      <c r="D182" s="173"/>
    </row>
    <row r="183" spans="4:4" s="174" customFormat="1" x14ac:dyDescent="0.2">
      <c r="D183" s="173"/>
    </row>
    <row r="184" spans="4:4" s="174" customFormat="1" x14ac:dyDescent="0.2">
      <c r="D184" s="173"/>
    </row>
    <row r="185" spans="4:4" s="174" customFormat="1" x14ac:dyDescent="0.2">
      <c r="D185" s="173"/>
    </row>
    <row r="186" spans="4:4" s="174" customFormat="1" x14ac:dyDescent="0.2">
      <c r="D186" s="173"/>
    </row>
    <row r="187" spans="4:4" s="174" customFormat="1" x14ac:dyDescent="0.2">
      <c r="D187" s="173"/>
    </row>
    <row r="188" spans="4:4" s="174" customFormat="1" x14ac:dyDescent="0.2">
      <c r="D188" s="173"/>
    </row>
    <row r="189" spans="4:4" s="174" customFormat="1" x14ac:dyDescent="0.2">
      <c r="D189" s="173"/>
    </row>
    <row r="190" spans="4:4" s="174" customFormat="1" x14ac:dyDescent="0.2">
      <c r="D190" s="173"/>
    </row>
    <row r="191" spans="4:4" s="174" customFormat="1" x14ac:dyDescent="0.2">
      <c r="D191" s="173"/>
    </row>
    <row r="192" spans="4:4" s="174" customFormat="1" x14ac:dyDescent="0.2">
      <c r="D192" s="173"/>
    </row>
    <row r="193" spans="4:4" s="174" customFormat="1" x14ac:dyDescent="0.2">
      <c r="D193" s="173"/>
    </row>
    <row r="194" spans="4:4" s="174" customFormat="1" x14ac:dyDescent="0.2">
      <c r="D194" s="173"/>
    </row>
    <row r="195" spans="4:4" s="174" customFormat="1" x14ac:dyDescent="0.2">
      <c r="D195" s="173"/>
    </row>
    <row r="196" spans="4:4" s="174" customFormat="1" x14ac:dyDescent="0.2">
      <c r="D196" s="173"/>
    </row>
    <row r="197" spans="4:4" s="174" customFormat="1" x14ac:dyDescent="0.2">
      <c r="D197" s="173"/>
    </row>
    <row r="198" spans="4:4" s="174" customFormat="1" x14ac:dyDescent="0.2">
      <c r="D198" s="173"/>
    </row>
    <row r="199" spans="4:4" s="174" customFormat="1" x14ac:dyDescent="0.2">
      <c r="D199" s="173"/>
    </row>
    <row r="200" spans="4:4" s="174" customFormat="1" x14ac:dyDescent="0.2">
      <c r="D200" s="173"/>
    </row>
    <row r="201" spans="4:4" s="174" customFormat="1" x14ac:dyDescent="0.2">
      <c r="D201" s="173"/>
    </row>
    <row r="202" spans="4:4" s="174" customFormat="1" x14ac:dyDescent="0.2">
      <c r="D202" s="173"/>
    </row>
    <row r="203" spans="4:4" s="174" customFormat="1" x14ac:dyDescent="0.2">
      <c r="D203" s="173"/>
    </row>
    <row r="204" spans="4:4" s="174" customFormat="1" x14ac:dyDescent="0.2">
      <c r="D204" s="173"/>
    </row>
    <row r="205" spans="4:4" s="174" customFormat="1" x14ac:dyDescent="0.2">
      <c r="D205" s="173"/>
    </row>
    <row r="206" spans="4:4" s="174" customFormat="1" x14ac:dyDescent="0.2">
      <c r="D206" s="173"/>
    </row>
    <row r="207" spans="4:4" s="174" customFormat="1" x14ac:dyDescent="0.2">
      <c r="D207" s="173"/>
    </row>
    <row r="208" spans="4:4" s="174" customFormat="1" x14ac:dyDescent="0.2">
      <c r="D208" s="173"/>
    </row>
    <row r="209" spans="4:4" s="174" customFormat="1" x14ac:dyDescent="0.2">
      <c r="D209" s="173"/>
    </row>
    <row r="210" spans="4:4" s="174" customFormat="1" x14ac:dyDescent="0.2">
      <c r="D210" s="173"/>
    </row>
    <row r="211" spans="4:4" s="174" customFormat="1" x14ac:dyDescent="0.2">
      <c r="D211" s="173"/>
    </row>
    <row r="212" spans="4:4" s="174" customFormat="1" x14ac:dyDescent="0.2">
      <c r="D212" s="173"/>
    </row>
    <row r="213" spans="4:4" s="174" customFormat="1" x14ac:dyDescent="0.2">
      <c r="D213" s="173"/>
    </row>
    <row r="214" spans="4:4" s="174" customFormat="1" x14ac:dyDescent="0.2">
      <c r="D214" s="173"/>
    </row>
    <row r="215" spans="4:4" s="174" customFormat="1" x14ac:dyDescent="0.2">
      <c r="D215" s="173"/>
    </row>
    <row r="216" spans="4:4" s="174" customFormat="1" x14ac:dyDescent="0.2">
      <c r="D216" s="173"/>
    </row>
    <row r="217" spans="4:4" s="174" customFormat="1" x14ac:dyDescent="0.2">
      <c r="D217" s="173"/>
    </row>
    <row r="218" spans="4:4" s="174" customFormat="1" x14ac:dyDescent="0.2">
      <c r="D218" s="173"/>
    </row>
    <row r="219" spans="4:4" s="174" customFormat="1" x14ac:dyDescent="0.2">
      <c r="D219" s="173"/>
    </row>
    <row r="220" spans="4:4" s="174" customFormat="1" x14ac:dyDescent="0.2">
      <c r="D220" s="173"/>
    </row>
    <row r="221" spans="4:4" s="174" customFormat="1" x14ac:dyDescent="0.2">
      <c r="D221" s="173"/>
    </row>
    <row r="222" spans="4:4" s="174" customFormat="1" x14ac:dyDescent="0.2">
      <c r="D222" s="173"/>
    </row>
    <row r="223" spans="4:4" s="174" customFormat="1" x14ac:dyDescent="0.2">
      <c r="D223" s="173"/>
    </row>
    <row r="224" spans="4:4" s="174" customFormat="1" x14ac:dyDescent="0.2">
      <c r="D224" s="173"/>
    </row>
    <row r="225" spans="4:4" s="174" customFormat="1" x14ac:dyDescent="0.2">
      <c r="D225" s="173"/>
    </row>
    <row r="226" spans="4:4" s="174" customFormat="1" x14ac:dyDescent="0.2">
      <c r="D226" s="173"/>
    </row>
    <row r="227" spans="4:4" s="174" customFormat="1" x14ac:dyDescent="0.2">
      <c r="D227" s="173"/>
    </row>
    <row r="228" spans="4:4" s="174" customFormat="1" x14ac:dyDescent="0.2">
      <c r="D228" s="173"/>
    </row>
    <row r="229" spans="4:4" s="174" customFormat="1" x14ac:dyDescent="0.2">
      <c r="D229" s="173"/>
    </row>
    <row r="230" spans="4:4" s="174" customFormat="1" x14ac:dyDescent="0.2">
      <c r="D230" s="173"/>
    </row>
    <row r="231" spans="4:4" s="174" customFormat="1" x14ac:dyDescent="0.2">
      <c r="D231" s="173"/>
    </row>
    <row r="232" spans="4:4" s="174" customFormat="1" x14ac:dyDescent="0.2">
      <c r="D232" s="173"/>
    </row>
    <row r="233" spans="4:4" s="174" customFormat="1" x14ac:dyDescent="0.2">
      <c r="D233" s="173"/>
    </row>
    <row r="234" spans="4:4" s="174" customFormat="1" x14ac:dyDescent="0.2">
      <c r="D234" s="173"/>
    </row>
    <row r="235" spans="4:4" s="174" customFormat="1" x14ac:dyDescent="0.2">
      <c r="D235" s="173"/>
    </row>
    <row r="236" spans="4:4" s="174" customFormat="1" x14ac:dyDescent="0.2">
      <c r="D236" s="173"/>
    </row>
    <row r="237" spans="4:4" s="174" customFormat="1" x14ac:dyDescent="0.2">
      <c r="D237" s="173"/>
    </row>
    <row r="238" spans="4:4" s="174" customFormat="1" x14ac:dyDescent="0.2">
      <c r="D238" s="173"/>
    </row>
    <row r="239" spans="4:4" s="174" customFormat="1" x14ac:dyDescent="0.2">
      <c r="D239" s="173"/>
    </row>
    <row r="240" spans="4:4" s="174" customFormat="1" x14ac:dyDescent="0.2">
      <c r="D240" s="173"/>
    </row>
    <row r="241" spans="4:4" s="174" customFormat="1" x14ac:dyDescent="0.2">
      <c r="D241" s="173"/>
    </row>
    <row r="242" spans="4:4" s="174" customFormat="1" x14ac:dyDescent="0.2">
      <c r="D242" s="173"/>
    </row>
    <row r="243" spans="4:4" s="174" customFormat="1" x14ac:dyDescent="0.2">
      <c r="D243" s="173"/>
    </row>
    <row r="244" spans="4:4" s="174" customFormat="1" x14ac:dyDescent="0.2">
      <c r="D244" s="173"/>
    </row>
    <row r="245" spans="4:4" s="174" customFormat="1" x14ac:dyDescent="0.2">
      <c r="D245" s="173"/>
    </row>
    <row r="246" spans="4:4" s="174" customFormat="1" x14ac:dyDescent="0.2">
      <c r="D246" s="173"/>
    </row>
    <row r="247" spans="4:4" s="174" customFormat="1" x14ac:dyDescent="0.2">
      <c r="D247" s="173"/>
    </row>
    <row r="248" spans="4:4" s="174" customFormat="1" x14ac:dyDescent="0.2">
      <c r="D248" s="173"/>
    </row>
    <row r="249" spans="4:4" s="174" customFormat="1" x14ac:dyDescent="0.2">
      <c r="D249" s="173"/>
    </row>
    <row r="250" spans="4:4" s="174" customFormat="1" x14ac:dyDescent="0.2">
      <c r="D250" s="173"/>
    </row>
    <row r="251" spans="4:4" s="174" customFormat="1" x14ac:dyDescent="0.2">
      <c r="D251" s="173"/>
    </row>
    <row r="252" spans="4:4" s="174" customFormat="1" x14ac:dyDescent="0.2">
      <c r="D252" s="173"/>
    </row>
    <row r="253" spans="4:4" s="174" customFormat="1" x14ac:dyDescent="0.2">
      <c r="D253" s="173"/>
    </row>
    <row r="254" spans="4:4" s="174" customFormat="1" x14ac:dyDescent="0.2">
      <c r="D254" s="173"/>
    </row>
    <row r="255" spans="4:4" s="174" customFormat="1" x14ac:dyDescent="0.2">
      <c r="D255" s="173"/>
    </row>
    <row r="256" spans="4:4" s="174" customFormat="1" x14ac:dyDescent="0.2">
      <c r="D256" s="173"/>
    </row>
    <row r="257" spans="4:4" s="174" customFormat="1" x14ac:dyDescent="0.2">
      <c r="D257" s="173"/>
    </row>
    <row r="258" spans="4:4" s="174" customFormat="1" x14ac:dyDescent="0.2">
      <c r="D258" s="173"/>
    </row>
    <row r="259" spans="4:4" s="174" customFormat="1" x14ac:dyDescent="0.2">
      <c r="D259" s="173"/>
    </row>
    <row r="260" spans="4:4" s="174" customFormat="1" x14ac:dyDescent="0.2">
      <c r="D260" s="173"/>
    </row>
    <row r="261" spans="4:4" s="174" customFormat="1" x14ac:dyDescent="0.2">
      <c r="D261" s="173"/>
    </row>
    <row r="262" spans="4:4" s="174" customFormat="1" x14ac:dyDescent="0.2">
      <c r="D262" s="173"/>
    </row>
    <row r="263" spans="4:4" s="174" customFormat="1" x14ac:dyDescent="0.2">
      <c r="D263" s="173"/>
    </row>
    <row r="264" spans="4:4" s="174" customFormat="1" x14ac:dyDescent="0.2">
      <c r="D264" s="173"/>
    </row>
    <row r="265" spans="4:4" s="174" customFormat="1" x14ac:dyDescent="0.2">
      <c r="D265" s="173"/>
    </row>
    <row r="266" spans="4:4" s="174" customFormat="1" x14ac:dyDescent="0.2">
      <c r="D266" s="173"/>
    </row>
    <row r="267" spans="4:4" s="174" customFormat="1" x14ac:dyDescent="0.2">
      <c r="D267" s="173"/>
    </row>
    <row r="268" spans="4:4" s="174" customFormat="1" x14ac:dyDescent="0.2">
      <c r="D268" s="173"/>
    </row>
    <row r="269" spans="4:4" s="174" customFormat="1" x14ac:dyDescent="0.2">
      <c r="D269" s="173"/>
    </row>
    <row r="270" spans="4:4" s="174" customFormat="1" x14ac:dyDescent="0.2">
      <c r="D270" s="173"/>
    </row>
    <row r="271" spans="4:4" s="174" customFormat="1" x14ac:dyDescent="0.2">
      <c r="D271" s="173"/>
    </row>
    <row r="272" spans="4:4" s="174" customFormat="1" x14ac:dyDescent="0.2">
      <c r="D272" s="173"/>
    </row>
    <row r="273" spans="4:4" s="174" customFormat="1" x14ac:dyDescent="0.2">
      <c r="D273" s="173"/>
    </row>
    <row r="274" spans="4:4" s="174" customFormat="1" x14ac:dyDescent="0.2">
      <c r="D274" s="173"/>
    </row>
    <row r="275" spans="4:4" s="174" customFormat="1" x14ac:dyDescent="0.2">
      <c r="D275" s="173"/>
    </row>
    <row r="276" spans="4:4" s="174" customFormat="1" x14ac:dyDescent="0.2">
      <c r="D276" s="173"/>
    </row>
    <row r="277" spans="4:4" s="174" customFormat="1" x14ac:dyDescent="0.2">
      <c r="D277" s="173"/>
    </row>
    <row r="278" spans="4:4" s="174" customFormat="1" x14ac:dyDescent="0.2">
      <c r="D278" s="173"/>
    </row>
    <row r="279" spans="4:4" s="174" customFormat="1" x14ac:dyDescent="0.2">
      <c r="D279" s="173"/>
    </row>
    <row r="280" spans="4:4" s="174" customFormat="1" x14ac:dyDescent="0.2">
      <c r="D280" s="173"/>
    </row>
    <row r="281" spans="4:4" s="174" customFormat="1" x14ac:dyDescent="0.2">
      <c r="D281" s="173"/>
    </row>
    <row r="282" spans="4:4" s="174" customFormat="1" x14ac:dyDescent="0.2">
      <c r="D282" s="173"/>
    </row>
    <row r="283" spans="4:4" s="174" customFormat="1" x14ac:dyDescent="0.2">
      <c r="D283" s="173"/>
    </row>
    <row r="284" spans="4:4" s="174" customFormat="1" x14ac:dyDescent="0.2">
      <c r="D284" s="173"/>
    </row>
    <row r="285" spans="4:4" s="174" customFormat="1" x14ac:dyDescent="0.2">
      <c r="D285" s="173"/>
    </row>
    <row r="286" spans="4:4" s="174" customFormat="1" x14ac:dyDescent="0.2">
      <c r="D286" s="173"/>
    </row>
    <row r="287" spans="4:4" s="174" customFormat="1" x14ac:dyDescent="0.2">
      <c r="D287" s="173"/>
    </row>
    <row r="288" spans="4:4" s="174" customFormat="1" x14ac:dyDescent="0.2">
      <c r="D288" s="173"/>
    </row>
    <row r="289" spans="4:4" s="174" customFormat="1" x14ac:dyDescent="0.2">
      <c r="D289" s="173"/>
    </row>
    <row r="290" spans="4:4" s="174" customFormat="1" x14ac:dyDescent="0.2">
      <c r="D290" s="173"/>
    </row>
    <row r="291" spans="4:4" s="174" customFormat="1" x14ac:dyDescent="0.2">
      <c r="D291" s="173"/>
    </row>
    <row r="292" spans="4:4" s="174" customFormat="1" x14ac:dyDescent="0.2">
      <c r="D292" s="173"/>
    </row>
    <row r="293" spans="4:4" s="174" customFormat="1" x14ac:dyDescent="0.2">
      <c r="D293" s="173"/>
    </row>
    <row r="294" spans="4:4" s="174" customFormat="1" x14ac:dyDescent="0.2">
      <c r="D294" s="173"/>
    </row>
    <row r="295" spans="4:4" s="174" customFormat="1" x14ac:dyDescent="0.2">
      <c r="D295" s="173"/>
    </row>
    <row r="296" spans="4:4" s="174" customFormat="1" x14ac:dyDescent="0.2">
      <c r="D296" s="173"/>
    </row>
    <row r="297" spans="4:4" s="174" customFormat="1" x14ac:dyDescent="0.2">
      <c r="D297" s="173"/>
    </row>
    <row r="298" spans="4:4" s="174" customFormat="1" x14ac:dyDescent="0.2">
      <c r="D298" s="173"/>
    </row>
    <row r="299" spans="4:4" s="174" customFormat="1" x14ac:dyDescent="0.2">
      <c r="D299" s="173"/>
    </row>
    <row r="300" spans="4:4" s="174" customFormat="1" x14ac:dyDescent="0.2">
      <c r="D300" s="173"/>
    </row>
    <row r="301" spans="4:4" s="174" customFormat="1" x14ac:dyDescent="0.2">
      <c r="D301" s="173"/>
    </row>
    <row r="302" spans="4:4" s="174" customFormat="1" x14ac:dyDescent="0.2">
      <c r="D302" s="173"/>
    </row>
    <row r="303" spans="4:4" s="174" customFormat="1" x14ac:dyDescent="0.2">
      <c r="D303" s="173"/>
    </row>
    <row r="304" spans="4:4" s="174" customFormat="1" x14ac:dyDescent="0.2">
      <c r="D304" s="173"/>
    </row>
    <row r="305" spans="4:4" s="174" customFormat="1" x14ac:dyDescent="0.2">
      <c r="D305" s="173"/>
    </row>
    <row r="306" spans="4:4" s="174" customFormat="1" x14ac:dyDescent="0.2">
      <c r="D306" s="173"/>
    </row>
    <row r="307" spans="4:4" s="174" customFormat="1" x14ac:dyDescent="0.2">
      <c r="D307" s="173"/>
    </row>
    <row r="308" spans="4:4" s="174" customFormat="1" x14ac:dyDescent="0.2">
      <c r="D308" s="173"/>
    </row>
    <row r="309" spans="4:4" s="174" customFormat="1" x14ac:dyDescent="0.2">
      <c r="D309" s="173"/>
    </row>
    <row r="310" spans="4:4" s="174" customFormat="1" x14ac:dyDescent="0.2">
      <c r="D310" s="173"/>
    </row>
    <row r="311" spans="4:4" s="174" customFormat="1" x14ac:dyDescent="0.2">
      <c r="D311" s="173"/>
    </row>
    <row r="312" spans="4:4" s="174" customFormat="1" x14ac:dyDescent="0.2">
      <c r="D312" s="173"/>
    </row>
    <row r="313" spans="4:4" s="174" customFormat="1" x14ac:dyDescent="0.2">
      <c r="D313" s="173"/>
    </row>
    <row r="314" spans="4:4" s="174" customFormat="1" x14ac:dyDescent="0.2">
      <c r="D314" s="173"/>
    </row>
    <row r="315" spans="4:4" s="174" customFormat="1" x14ac:dyDescent="0.2">
      <c r="D315" s="173"/>
    </row>
    <row r="316" spans="4:4" s="174" customFormat="1" x14ac:dyDescent="0.2">
      <c r="D316" s="173"/>
    </row>
    <row r="317" spans="4:4" s="174" customFormat="1" x14ac:dyDescent="0.2">
      <c r="D317" s="173"/>
    </row>
    <row r="318" spans="4:4" s="174" customFormat="1" x14ac:dyDescent="0.2">
      <c r="D318" s="173"/>
    </row>
    <row r="319" spans="4:4" s="174" customFormat="1" x14ac:dyDescent="0.2">
      <c r="D319" s="173"/>
    </row>
    <row r="320" spans="4:4" s="174" customFormat="1" x14ac:dyDescent="0.2">
      <c r="D320" s="173"/>
    </row>
    <row r="321" spans="4:4" s="174" customFormat="1" x14ac:dyDescent="0.2">
      <c r="D321" s="173"/>
    </row>
    <row r="322" spans="4:4" s="174" customFormat="1" x14ac:dyDescent="0.2">
      <c r="D322" s="173"/>
    </row>
    <row r="323" spans="4:4" s="174" customFormat="1" x14ac:dyDescent="0.2">
      <c r="D323" s="173"/>
    </row>
    <row r="324" spans="4:4" s="174" customFormat="1" x14ac:dyDescent="0.2">
      <c r="D324" s="173"/>
    </row>
    <row r="325" spans="4:4" s="174" customFormat="1" x14ac:dyDescent="0.2">
      <c r="D325" s="173"/>
    </row>
    <row r="326" spans="4:4" s="174" customFormat="1" x14ac:dyDescent="0.2">
      <c r="D326" s="173"/>
    </row>
    <row r="327" spans="4:4" s="174" customFormat="1" x14ac:dyDescent="0.2">
      <c r="D327" s="173"/>
    </row>
    <row r="328" spans="4:4" s="174" customFormat="1" x14ac:dyDescent="0.2">
      <c r="D328" s="173"/>
    </row>
    <row r="329" spans="4:4" s="174" customFormat="1" x14ac:dyDescent="0.2">
      <c r="D329" s="173"/>
    </row>
    <row r="330" spans="4:4" s="174" customFormat="1" x14ac:dyDescent="0.2">
      <c r="D330" s="173"/>
    </row>
    <row r="331" spans="4:4" s="174" customFormat="1" x14ac:dyDescent="0.2">
      <c r="D331" s="173"/>
    </row>
    <row r="332" spans="4:4" s="174" customFormat="1" x14ac:dyDescent="0.2">
      <c r="D332" s="173"/>
    </row>
    <row r="333" spans="4:4" s="174" customFormat="1" x14ac:dyDescent="0.2">
      <c r="D333" s="173"/>
    </row>
    <row r="334" spans="4:4" s="174" customFormat="1" x14ac:dyDescent="0.2">
      <c r="D334" s="173"/>
    </row>
    <row r="335" spans="4:4" s="174" customFormat="1" x14ac:dyDescent="0.2">
      <c r="D335" s="173"/>
    </row>
    <row r="336" spans="4:4" s="174" customFormat="1" x14ac:dyDescent="0.2">
      <c r="D336" s="173"/>
    </row>
    <row r="337" spans="4:4" s="174" customFormat="1" x14ac:dyDescent="0.2">
      <c r="D337" s="173"/>
    </row>
    <row r="338" spans="4:4" s="174" customFormat="1" x14ac:dyDescent="0.2">
      <c r="D338" s="173"/>
    </row>
    <row r="339" spans="4:4" s="174" customFormat="1" x14ac:dyDescent="0.2">
      <c r="D339" s="173"/>
    </row>
    <row r="340" spans="4:4" s="174" customFormat="1" x14ac:dyDescent="0.2">
      <c r="D340" s="173"/>
    </row>
    <row r="341" spans="4:4" s="174" customFormat="1" x14ac:dyDescent="0.2">
      <c r="D341" s="173"/>
    </row>
    <row r="342" spans="4:4" s="174" customFormat="1" x14ac:dyDescent="0.2">
      <c r="D342" s="173"/>
    </row>
    <row r="343" spans="4:4" s="174" customFormat="1" x14ac:dyDescent="0.2">
      <c r="D343" s="173"/>
    </row>
    <row r="344" spans="4:4" s="174" customFormat="1" x14ac:dyDescent="0.2">
      <c r="D344" s="173"/>
    </row>
    <row r="345" spans="4:4" s="174" customFormat="1" x14ac:dyDescent="0.2">
      <c r="D345" s="173"/>
    </row>
    <row r="346" spans="4:4" s="174" customFormat="1" x14ac:dyDescent="0.2">
      <c r="D346" s="173"/>
    </row>
    <row r="347" spans="4:4" s="174" customFormat="1" x14ac:dyDescent="0.2">
      <c r="D347" s="173"/>
    </row>
    <row r="348" spans="4:4" s="174" customFormat="1" x14ac:dyDescent="0.2">
      <c r="D348" s="173"/>
    </row>
    <row r="349" spans="4:4" s="174" customFormat="1" x14ac:dyDescent="0.2">
      <c r="D349" s="173"/>
    </row>
    <row r="350" spans="4:4" s="174" customFormat="1" x14ac:dyDescent="0.2">
      <c r="D350" s="173"/>
    </row>
    <row r="351" spans="4:4" s="174" customFormat="1" x14ac:dyDescent="0.2">
      <c r="D351" s="173"/>
    </row>
    <row r="352" spans="4:4" s="174" customFormat="1" x14ac:dyDescent="0.2">
      <c r="D352" s="173"/>
    </row>
    <row r="353" spans="4:4" s="174" customFormat="1" x14ac:dyDescent="0.2">
      <c r="D353" s="173"/>
    </row>
    <row r="354" spans="4:4" s="174" customFormat="1" x14ac:dyDescent="0.2">
      <c r="D354" s="173"/>
    </row>
    <row r="355" spans="4:4" s="174" customFormat="1" x14ac:dyDescent="0.2">
      <c r="D355" s="173"/>
    </row>
    <row r="356" spans="4:4" s="174" customFormat="1" x14ac:dyDescent="0.2">
      <c r="D356" s="173"/>
    </row>
    <row r="357" spans="4:4" s="174" customFormat="1" x14ac:dyDescent="0.2">
      <c r="D357" s="173"/>
    </row>
    <row r="358" spans="4:4" s="174" customFormat="1" x14ac:dyDescent="0.2">
      <c r="D358" s="173"/>
    </row>
    <row r="359" spans="4:4" s="174" customFormat="1" x14ac:dyDescent="0.2">
      <c r="D359" s="173"/>
    </row>
    <row r="360" spans="4:4" s="174" customFormat="1" x14ac:dyDescent="0.2">
      <c r="D360" s="173"/>
    </row>
    <row r="361" spans="4:4" s="174" customFormat="1" x14ac:dyDescent="0.2">
      <c r="D361" s="173"/>
    </row>
    <row r="362" spans="4:4" s="174" customFormat="1" x14ac:dyDescent="0.2">
      <c r="D362" s="173"/>
    </row>
    <row r="363" spans="4:4" s="174" customFormat="1" x14ac:dyDescent="0.2">
      <c r="D363" s="173"/>
    </row>
    <row r="364" spans="4:4" s="174" customFormat="1" x14ac:dyDescent="0.2">
      <c r="D364" s="173"/>
    </row>
    <row r="365" spans="4:4" s="174" customFormat="1" x14ac:dyDescent="0.2">
      <c r="D365" s="173"/>
    </row>
    <row r="366" spans="4:4" s="174" customFormat="1" x14ac:dyDescent="0.2">
      <c r="D366" s="173"/>
    </row>
    <row r="367" spans="4:4" s="174" customFormat="1" x14ac:dyDescent="0.2">
      <c r="D367" s="173"/>
    </row>
    <row r="368" spans="4:4" s="174" customFormat="1" x14ac:dyDescent="0.2">
      <c r="D368" s="173"/>
    </row>
    <row r="369" spans="4:4" s="174" customFormat="1" x14ac:dyDescent="0.2">
      <c r="D369" s="173"/>
    </row>
    <row r="370" spans="4:4" s="174" customFormat="1" x14ac:dyDescent="0.2">
      <c r="D370" s="173"/>
    </row>
    <row r="371" spans="4:4" s="174" customFormat="1" x14ac:dyDescent="0.2">
      <c r="D371" s="173"/>
    </row>
    <row r="372" spans="4:4" s="174" customFormat="1" x14ac:dyDescent="0.2">
      <c r="D372" s="173"/>
    </row>
    <row r="373" spans="4:4" s="174" customFormat="1" x14ac:dyDescent="0.2">
      <c r="D373" s="173"/>
    </row>
    <row r="374" spans="4:4" s="174" customFormat="1" x14ac:dyDescent="0.2">
      <c r="D374" s="173"/>
    </row>
    <row r="375" spans="4:4" s="174" customFormat="1" x14ac:dyDescent="0.2">
      <c r="D375" s="173"/>
    </row>
    <row r="376" spans="4:4" s="174" customFormat="1" x14ac:dyDescent="0.2">
      <c r="D376" s="173"/>
    </row>
    <row r="377" spans="4:4" s="174" customFormat="1" x14ac:dyDescent="0.2">
      <c r="D377" s="173"/>
    </row>
    <row r="378" spans="4:4" s="174" customFormat="1" x14ac:dyDescent="0.2">
      <c r="D378" s="173"/>
    </row>
    <row r="379" spans="4:4" s="174" customFormat="1" x14ac:dyDescent="0.2">
      <c r="D379" s="173"/>
    </row>
    <row r="380" spans="4:4" s="174" customFormat="1" x14ac:dyDescent="0.2">
      <c r="D380" s="173"/>
    </row>
    <row r="381" spans="4:4" s="174" customFormat="1" x14ac:dyDescent="0.2">
      <c r="D381" s="173"/>
    </row>
    <row r="382" spans="4:4" s="174" customFormat="1" x14ac:dyDescent="0.2">
      <c r="D382" s="173"/>
    </row>
    <row r="383" spans="4:4" s="174" customFormat="1" x14ac:dyDescent="0.2">
      <c r="D383" s="173"/>
    </row>
    <row r="384" spans="4:4" s="174" customFormat="1" x14ac:dyDescent="0.2">
      <c r="D384" s="173"/>
    </row>
    <row r="385" spans="4:4" s="174" customFormat="1" x14ac:dyDescent="0.2">
      <c r="D385" s="173"/>
    </row>
    <row r="386" spans="4:4" s="174" customFormat="1" x14ac:dyDescent="0.2">
      <c r="D386" s="173"/>
    </row>
    <row r="387" spans="4:4" s="174" customFormat="1" x14ac:dyDescent="0.2">
      <c r="D387" s="173"/>
    </row>
    <row r="388" spans="4:4" s="174" customFormat="1" x14ac:dyDescent="0.2">
      <c r="D388" s="173"/>
    </row>
    <row r="389" spans="4:4" s="174" customFormat="1" x14ac:dyDescent="0.2">
      <c r="D389" s="173"/>
    </row>
    <row r="390" spans="4:4" s="174" customFormat="1" x14ac:dyDescent="0.2">
      <c r="D390" s="173"/>
    </row>
    <row r="391" spans="4:4" s="174" customFormat="1" x14ac:dyDescent="0.2">
      <c r="D391" s="173"/>
    </row>
    <row r="392" spans="4:4" s="174" customFormat="1" x14ac:dyDescent="0.2">
      <c r="D392" s="173"/>
    </row>
    <row r="393" spans="4:4" s="174" customFormat="1" x14ac:dyDescent="0.2">
      <c r="D393" s="173"/>
    </row>
    <row r="394" spans="4:4" s="174" customFormat="1" x14ac:dyDescent="0.2">
      <c r="D394" s="173"/>
    </row>
    <row r="395" spans="4:4" s="174" customFormat="1" x14ac:dyDescent="0.2">
      <c r="D395" s="173"/>
    </row>
    <row r="396" spans="4:4" s="174" customFormat="1" x14ac:dyDescent="0.2">
      <c r="D396" s="173"/>
    </row>
    <row r="397" spans="4:4" s="174" customFormat="1" x14ac:dyDescent="0.2">
      <c r="D397" s="173"/>
    </row>
    <row r="398" spans="4:4" s="174" customFormat="1" x14ac:dyDescent="0.2">
      <c r="D398" s="173"/>
    </row>
    <row r="399" spans="4:4" s="174" customFormat="1" x14ac:dyDescent="0.2">
      <c r="D399" s="173"/>
    </row>
    <row r="400" spans="4:4" s="174" customFormat="1" x14ac:dyDescent="0.2">
      <c r="D400" s="173"/>
    </row>
    <row r="401" spans="4:4" s="174" customFormat="1" x14ac:dyDescent="0.2">
      <c r="D401" s="173"/>
    </row>
    <row r="402" spans="4:4" s="174" customFormat="1" x14ac:dyDescent="0.2">
      <c r="D402" s="173"/>
    </row>
    <row r="403" spans="4:4" s="174" customFormat="1" x14ac:dyDescent="0.2">
      <c r="D403" s="173"/>
    </row>
    <row r="404" spans="4:4" s="174" customFormat="1" x14ac:dyDescent="0.2">
      <c r="D404" s="173"/>
    </row>
    <row r="405" spans="4:4" s="174" customFormat="1" x14ac:dyDescent="0.2">
      <c r="D405" s="173"/>
    </row>
    <row r="406" spans="4:4" s="174" customFormat="1" x14ac:dyDescent="0.2">
      <c r="D406" s="173"/>
    </row>
    <row r="407" spans="4:4" s="174" customFormat="1" x14ac:dyDescent="0.2">
      <c r="D407" s="173"/>
    </row>
    <row r="408" spans="4:4" s="174" customFormat="1" x14ac:dyDescent="0.2">
      <c r="D408" s="173"/>
    </row>
    <row r="409" spans="4:4" s="174" customFormat="1" x14ac:dyDescent="0.2">
      <c r="D409" s="173"/>
    </row>
    <row r="410" spans="4:4" s="174" customFormat="1" x14ac:dyDescent="0.2">
      <c r="D410" s="173"/>
    </row>
    <row r="411" spans="4:4" s="174" customFormat="1" x14ac:dyDescent="0.2">
      <c r="D411" s="173"/>
    </row>
    <row r="412" spans="4:4" s="174" customFormat="1" x14ac:dyDescent="0.2">
      <c r="D412" s="173"/>
    </row>
    <row r="413" spans="4:4" s="174" customFormat="1" x14ac:dyDescent="0.2">
      <c r="D413" s="173"/>
    </row>
    <row r="414" spans="4:4" s="174" customFormat="1" x14ac:dyDescent="0.2">
      <c r="D414" s="173"/>
    </row>
    <row r="415" spans="4:4" s="174" customFormat="1" x14ac:dyDescent="0.2">
      <c r="D415" s="173"/>
    </row>
    <row r="416" spans="4:4" s="174" customFormat="1" x14ac:dyDescent="0.2">
      <c r="D416" s="173"/>
    </row>
    <row r="417" spans="4:4" s="174" customFormat="1" x14ac:dyDescent="0.2">
      <c r="D417" s="173"/>
    </row>
    <row r="418" spans="4:4" s="174" customFormat="1" x14ac:dyDescent="0.2">
      <c r="D418" s="173"/>
    </row>
    <row r="419" spans="4:4" s="174" customFormat="1" x14ac:dyDescent="0.2">
      <c r="D419" s="173"/>
    </row>
    <row r="420" spans="4:4" s="174" customFormat="1" x14ac:dyDescent="0.2">
      <c r="D420" s="173"/>
    </row>
    <row r="421" spans="4:4" s="174" customFormat="1" x14ac:dyDescent="0.2">
      <c r="D421" s="173"/>
    </row>
    <row r="422" spans="4:4" s="174" customFormat="1" x14ac:dyDescent="0.2">
      <c r="D422" s="173"/>
    </row>
    <row r="423" spans="4:4" s="174" customFormat="1" x14ac:dyDescent="0.2">
      <c r="D423" s="173"/>
    </row>
    <row r="424" spans="4:4" s="174" customFormat="1" x14ac:dyDescent="0.2">
      <c r="D424" s="173"/>
    </row>
    <row r="425" spans="4:4" s="174" customFormat="1" x14ac:dyDescent="0.2">
      <c r="D425" s="173"/>
    </row>
    <row r="426" spans="4:4" s="174" customFormat="1" x14ac:dyDescent="0.2">
      <c r="D426" s="173"/>
    </row>
    <row r="427" spans="4:4" s="174" customFormat="1" x14ac:dyDescent="0.2">
      <c r="D427" s="173"/>
    </row>
    <row r="428" spans="4:4" s="174" customFormat="1" x14ac:dyDescent="0.2">
      <c r="D428" s="173"/>
    </row>
    <row r="429" spans="4:4" s="174" customFormat="1" x14ac:dyDescent="0.2">
      <c r="D429" s="173"/>
    </row>
    <row r="430" spans="4:4" s="174" customFormat="1" x14ac:dyDescent="0.2">
      <c r="D430" s="173"/>
    </row>
    <row r="431" spans="4:4" s="174" customFormat="1" x14ac:dyDescent="0.2">
      <c r="D431" s="173"/>
    </row>
    <row r="432" spans="4:4" s="174" customFormat="1" x14ac:dyDescent="0.2">
      <c r="D432" s="173"/>
    </row>
    <row r="433" spans="4:4" s="174" customFormat="1" x14ac:dyDescent="0.2">
      <c r="D433" s="173"/>
    </row>
    <row r="434" spans="4:4" s="174" customFormat="1" x14ac:dyDescent="0.2">
      <c r="D434" s="173"/>
    </row>
    <row r="435" spans="4:4" s="174" customFormat="1" x14ac:dyDescent="0.2">
      <c r="D435" s="173"/>
    </row>
    <row r="436" spans="4:4" s="174" customFormat="1" x14ac:dyDescent="0.2">
      <c r="D436" s="173"/>
    </row>
    <row r="437" spans="4:4" s="174" customFormat="1" x14ac:dyDescent="0.2">
      <c r="D437" s="173"/>
    </row>
    <row r="438" spans="4:4" s="174" customFormat="1" x14ac:dyDescent="0.2">
      <c r="D438" s="173"/>
    </row>
    <row r="439" spans="4:4" s="174" customFormat="1" x14ac:dyDescent="0.2">
      <c r="D439" s="173"/>
    </row>
    <row r="440" spans="4:4" s="174" customFormat="1" x14ac:dyDescent="0.2">
      <c r="D440" s="173"/>
    </row>
    <row r="441" spans="4:4" s="174" customFormat="1" x14ac:dyDescent="0.2">
      <c r="D441" s="173"/>
    </row>
    <row r="442" spans="4:4" s="174" customFormat="1" x14ac:dyDescent="0.2">
      <c r="D442" s="173"/>
    </row>
    <row r="443" spans="4:4" s="174" customFormat="1" x14ac:dyDescent="0.2">
      <c r="D443" s="173"/>
    </row>
    <row r="444" spans="4:4" s="174" customFormat="1" x14ac:dyDescent="0.2">
      <c r="D444" s="173"/>
    </row>
    <row r="445" spans="4:4" s="174" customFormat="1" x14ac:dyDescent="0.2">
      <c r="D445" s="173"/>
    </row>
    <row r="446" spans="4:4" s="174" customFormat="1" x14ac:dyDescent="0.2">
      <c r="D446" s="173"/>
    </row>
    <row r="447" spans="4:4" s="174" customFormat="1" x14ac:dyDescent="0.2">
      <c r="D447" s="173"/>
    </row>
    <row r="448" spans="4:4" s="174" customFormat="1" x14ac:dyDescent="0.2">
      <c r="D448" s="173"/>
    </row>
    <row r="449" spans="4:4" s="174" customFormat="1" x14ac:dyDescent="0.2">
      <c r="D449" s="173"/>
    </row>
    <row r="450" spans="4:4" s="174" customFormat="1" x14ac:dyDescent="0.2">
      <c r="D450" s="173"/>
    </row>
    <row r="451" spans="4:4" s="174" customFormat="1" x14ac:dyDescent="0.2">
      <c r="D451" s="173"/>
    </row>
    <row r="452" spans="4:4" s="174" customFormat="1" x14ac:dyDescent="0.2">
      <c r="D452" s="173"/>
    </row>
    <row r="453" spans="4:4" s="174" customFormat="1" x14ac:dyDescent="0.2">
      <c r="D453" s="173"/>
    </row>
    <row r="454" spans="4:4" s="174" customFormat="1" x14ac:dyDescent="0.2">
      <c r="D454" s="173"/>
    </row>
    <row r="455" spans="4:4" s="174" customFormat="1" x14ac:dyDescent="0.2">
      <c r="D455" s="173"/>
    </row>
    <row r="456" spans="4:4" s="174" customFormat="1" x14ac:dyDescent="0.2">
      <c r="D456" s="173"/>
    </row>
    <row r="457" spans="4:4" s="174" customFormat="1" x14ac:dyDescent="0.2">
      <c r="D457" s="173"/>
    </row>
    <row r="458" spans="4:4" s="174" customFormat="1" x14ac:dyDescent="0.2">
      <c r="D458" s="173"/>
    </row>
    <row r="459" spans="4:4" s="174" customFormat="1" x14ac:dyDescent="0.2">
      <c r="D459" s="173"/>
    </row>
    <row r="460" spans="4:4" s="174" customFormat="1" x14ac:dyDescent="0.2">
      <c r="D460" s="173"/>
    </row>
    <row r="461" spans="4:4" s="174" customFormat="1" x14ac:dyDescent="0.2">
      <c r="D461" s="173"/>
    </row>
    <row r="462" spans="4:4" s="174" customFormat="1" x14ac:dyDescent="0.2">
      <c r="D462" s="173"/>
    </row>
    <row r="463" spans="4:4" s="174" customFormat="1" x14ac:dyDescent="0.2">
      <c r="D463" s="173"/>
    </row>
    <row r="464" spans="4:4" s="174" customFormat="1" x14ac:dyDescent="0.2">
      <c r="D464" s="173"/>
    </row>
    <row r="465" spans="4:4" s="174" customFormat="1" x14ac:dyDescent="0.2">
      <c r="D465" s="173"/>
    </row>
    <row r="466" spans="4:4" s="174" customFormat="1" x14ac:dyDescent="0.2">
      <c r="D466" s="173"/>
    </row>
    <row r="467" spans="4:4" s="174" customFormat="1" x14ac:dyDescent="0.2">
      <c r="D467" s="173"/>
    </row>
    <row r="468" spans="4:4" s="174" customFormat="1" x14ac:dyDescent="0.2">
      <c r="D468" s="173"/>
    </row>
    <row r="469" spans="4:4" s="174" customFormat="1" x14ac:dyDescent="0.2">
      <c r="D469" s="173"/>
    </row>
    <row r="470" spans="4:4" s="174" customFormat="1" x14ac:dyDescent="0.2">
      <c r="D470" s="173"/>
    </row>
    <row r="471" spans="4:4" s="174" customFormat="1" x14ac:dyDescent="0.2">
      <c r="D471" s="173"/>
    </row>
    <row r="472" spans="4:4" s="174" customFormat="1" x14ac:dyDescent="0.2">
      <c r="D472" s="173"/>
    </row>
    <row r="473" spans="4:4" s="174" customFormat="1" x14ac:dyDescent="0.2">
      <c r="D473" s="173"/>
    </row>
    <row r="474" spans="4:4" s="174" customFormat="1" x14ac:dyDescent="0.2">
      <c r="D474" s="173"/>
    </row>
    <row r="475" spans="4:4" s="174" customFormat="1" x14ac:dyDescent="0.2">
      <c r="D475" s="173"/>
    </row>
    <row r="476" spans="4:4" s="174" customFormat="1" x14ac:dyDescent="0.2">
      <c r="D476" s="173"/>
    </row>
    <row r="477" spans="4:4" s="174" customFormat="1" x14ac:dyDescent="0.2">
      <c r="D477" s="173"/>
    </row>
    <row r="478" spans="4:4" s="174" customFormat="1" x14ac:dyDescent="0.2">
      <c r="D478" s="173"/>
    </row>
    <row r="479" spans="4:4" s="174" customFormat="1" x14ac:dyDescent="0.2">
      <c r="D479" s="173"/>
    </row>
    <row r="480" spans="4:4" s="174" customFormat="1" x14ac:dyDescent="0.2">
      <c r="D480" s="173"/>
    </row>
    <row r="481" spans="4:4" s="174" customFormat="1" x14ac:dyDescent="0.2">
      <c r="D481" s="173"/>
    </row>
    <row r="482" spans="4:4" s="174" customFormat="1" x14ac:dyDescent="0.2">
      <c r="D482" s="173"/>
    </row>
    <row r="483" spans="4:4" s="174" customFormat="1" x14ac:dyDescent="0.2">
      <c r="D483" s="173"/>
    </row>
    <row r="484" spans="4:4" s="174" customFormat="1" x14ac:dyDescent="0.2">
      <c r="D484" s="173"/>
    </row>
    <row r="485" spans="4:4" s="174" customFormat="1" x14ac:dyDescent="0.2">
      <c r="D485" s="173"/>
    </row>
    <row r="486" spans="4:4" s="174" customFormat="1" x14ac:dyDescent="0.2">
      <c r="D486" s="173"/>
    </row>
    <row r="487" spans="4:4" s="174" customFormat="1" x14ac:dyDescent="0.2">
      <c r="D487" s="173"/>
    </row>
    <row r="488" spans="4:4" s="174" customFormat="1" x14ac:dyDescent="0.2">
      <c r="D488" s="173"/>
    </row>
    <row r="489" spans="4:4" s="174" customFormat="1" x14ac:dyDescent="0.2">
      <c r="D489" s="173"/>
    </row>
    <row r="490" spans="4:4" s="174" customFormat="1" x14ac:dyDescent="0.2">
      <c r="D490" s="173"/>
    </row>
    <row r="491" spans="4:4" s="174" customFormat="1" x14ac:dyDescent="0.2">
      <c r="D491" s="173"/>
    </row>
    <row r="492" spans="4:4" s="174" customFormat="1" x14ac:dyDescent="0.2">
      <c r="D492" s="173"/>
    </row>
    <row r="493" spans="4:4" s="174" customFormat="1" x14ac:dyDescent="0.2">
      <c r="D493" s="173"/>
    </row>
    <row r="494" spans="4:4" s="174" customFormat="1" x14ac:dyDescent="0.2">
      <c r="D494" s="173"/>
    </row>
    <row r="495" spans="4:4" s="174" customFormat="1" x14ac:dyDescent="0.2">
      <c r="D495" s="173"/>
    </row>
    <row r="496" spans="4:4" s="174" customFormat="1" x14ac:dyDescent="0.2">
      <c r="D496" s="173"/>
    </row>
    <row r="497" spans="4:4" s="174" customFormat="1" x14ac:dyDescent="0.2">
      <c r="D497" s="173"/>
    </row>
    <row r="498" spans="4:4" s="174" customFormat="1" x14ac:dyDescent="0.2">
      <c r="D498" s="173"/>
    </row>
    <row r="499" spans="4:4" s="174" customFormat="1" x14ac:dyDescent="0.2">
      <c r="D499" s="173"/>
    </row>
    <row r="500" spans="4:4" s="174" customFormat="1" x14ac:dyDescent="0.2">
      <c r="D500" s="173"/>
    </row>
    <row r="501" spans="4:4" s="174" customFormat="1" x14ac:dyDescent="0.2">
      <c r="D501" s="173"/>
    </row>
    <row r="502" spans="4:4" s="174" customFormat="1" x14ac:dyDescent="0.2">
      <c r="D502" s="173"/>
    </row>
  </sheetData>
  <mergeCells count="1">
    <mergeCell ref="C88:D88"/>
  </mergeCells>
  <pageMargins left="0.70866141732283472" right="0.70866141732283472" top="0.74803149606299213" bottom="0.74803149606299213" header="0.31496062992125984" footer="0.31496062992125984"/>
  <pageSetup fitToHeight="0" orientation="landscape" r:id="rId1"/>
  <headerFooter>
    <oddHeader>&amp;C&amp;A</oddHeader>
    <oddFooter>&amp;CPage &amp;P of &amp;N</oddFooter>
  </headerFooter>
  <rowBreaks count="3" manualBreakCount="3">
    <brk id="40" max="16383" man="1"/>
    <brk id="67" max="16383" man="1"/>
    <brk id="8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AS27"/>
  <sheetViews>
    <sheetView showGridLines="0" zoomScaleNormal="100" workbookViewId="0">
      <selection activeCell="AQ11" sqref="AQ11"/>
    </sheetView>
  </sheetViews>
  <sheetFormatPr defaultColWidth="9.140625" defaultRowHeight="12.75" x14ac:dyDescent="0.2"/>
  <cols>
    <col min="1" max="2" width="1.42578125" style="170" customWidth="1"/>
    <col min="3" max="3" width="24" style="170" customWidth="1"/>
    <col min="4" max="4" width="13.42578125" style="170" bestFit="1" customWidth="1"/>
    <col min="5" max="44" width="12.42578125" style="170" customWidth="1"/>
    <col min="45" max="16384" width="9.140625" style="170"/>
  </cols>
  <sheetData>
    <row r="1" spans="2:45" ht="7.5" customHeight="1" x14ac:dyDescent="0.2"/>
    <row r="2" spans="2:45" ht="7.5" customHeight="1" x14ac:dyDescent="0.2">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row>
    <row r="3" spans="2:45" ht="18.75" x14ac:dyDescent="0.3">
      <c r="B3" s="175"/>
      <c r="C3" s="145" t="s">
        <v>510</v>
      </c>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row>
    <row r="4" spans="2:45" x14ac:dyDescent="0.2">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row>
    <row r="5" spans="2:45" x14ac:dyDescent="0.2">
      <c r="B5" s="175"/>
      <c r="C5" s="375" t="s">
        <v>426</v>
      </c>
      <c r="D5" s="305"/>
      <c r="E5" s="305"/>
      <c r="F5" s="30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row>
    <row r="6" spans="2:45" x14ac:dyDescent="0.2">
      <c r="B6" s="175"/>
      <c r="C6" s="375"/>
      <c r="D6" s="305"/>
      <c r="E6" s="305"/>
      <c r="F6" s="30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row>
    <row r="7" spans="2:45" x14ac:dyDescent="0.2">
      <c r="B7" s="175"/>
      <c r="C7" s="505" t="s">
        <v>64</v>
      </c>
      <c r="D7" s="373"/>
      <c r="E7" s="373"/>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row>
    <row r="8" spans="2:45" x14ac:dyDescent="0.2">
      <c r="B8" s="175"/>
      <c r="C8" s="502" t="s">
        <v>59</v>
      </c>
      <c r="D8" s="503">
        <f>'Tariff Inputs'!D85</f>
        <v>0</v>
      </c>
      <c r="E8" s="373"/>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row>
    <row r="9" spans="2:45" x14ac:dyDescent="0.2">
      <c r="B9" s="175"/>
      <c r="C9" s="379" t="s">
        <v>60</v>
      </c>
      <c r="D9" s="380">
        <f>'Loan Drawdown'!F51</f>
        <v>0</v>
      </c>
      <c r="E9" s="373"/>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row>
    <row r="10" spans="2:45" x14ac:dyDescent="0.2">
      <c r="B10" s="175"/>
      <c r="C10" s="383" t="s">
        <v>594</v>
      </c>
      <c r="D10" s="504">
        <f>'Tariff Inputs'!D77*('Loan Repayment'!D8+'Loan Repayment'!D9)</f>
        <v>0</v>
      </c>
      <c r="E10" s="373"/>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row>
    <row r="11" spans="2:45" ht="13.5" thickBot="1" x14ac:dyDescent="0.25">
      <c r="B11" s="175"/>
      <c r="C11" s="381" t="s">
        <v>63</v>
      </c>
      <c r="D11" s="382">
        <f>SUM(D8:D10)</f>
        <v>0</v>
      </c>
      <c r="E11" s="373"/>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row>
    <row r="12" spans="2:45" ht="13.5" thickTop="1" x14ac:dyDescent="0.2">
      <c r="B12" s="175"/>
      <c r="C12" s="379" t="s">
        <v>67</v>
      </c>
      <c r="D12" s="380">
        <f>'Tariff Inputs'!D79</f>
        <v>0</v>
      </c>
      <c r="E12" s="373"/>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row>
    <row r="13" spans="2:45" x14ac:dyDescent="0.2">
      <c r="B13" s="175"/>
      <c r="C13" s="383" t="s">
        <v>68</v>
      </c>
      <c r="D13" s="384">
        <f>'Tariff Inputs'!F85</f>
        <v>0</v>
      </c>
      <c r="E13" s="374"/>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row>
    <row r="14" spans="2:45" x14ac:dyDescent="0.2">
      <c r="B14" s="175"/>
      <c r="C14" s="175"/>
      <c r="D14" s="376"/>
      <c r="E14" s="376"/>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row>
    <row r="15" spans="2:45" x14ac:dyDescent="0.2">
      <c r="B15" s="175"/>
      <c r="C15" s="509" t="s">
        <v>65</v>
      </c>
      <c r="D15" s="376"/>
      <c r="E15" s="376"/>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row>
    <row r="16" spans="2:45" x14ac:dyDescent="0.2">
      <c r="B16" s="175"/>
      <c r="C16" s="510" t="s">
        <v>62</v>
      </c>
      <c r="D16" s="511"/>
      <c r="E16" s="512">
        <v>1</v>
      </c>
      <c r="F16" s="512">
        <f t="shared" ref="F16:AR16" si="0">E16+1</f>
        <v>2</v>
      </c>
      <c r="G16" s="512">
        <f t="shared" si="0"/>
        <v>3</v>
      </c>
      <c r="H16" s="512">
        <f t="shared" si="0"/>
        <v>4</v>
      </c>
      <c r="I16" s="512">
        <f t="shared" si="0"/>
        <v>5</v>
      </c>
      <c r="J16" s="512">
        <f t="shared" si="0"/>
        <v>6</v>
      </c>
      <c r="K16" s="512">
        <f t="shared" si="0"/>
        <v>7</v>
      </c>
      <c r="L16" s="512">
        <f t="shared" si="0"/>
        <v>8</v>
      </c>
      <c r="M16" s="512">
        <f t="shared" si="0"/>
        <v>9</v>
      </c>
      <c r="N16" s="512">
        <f t="shared" si="0"/>
        <v>10</v>
      </c>
      <c r="O16" s="512">
        <f t="shared" si="0"/>
        <v>11</v>
      </c>
      <c r="P16" s="512">
        <f t="shared" si="0"/>
        <v>12</v>
      </c>
      <c r="Q16" s="512">
        <f t="shared" si="0"/>
        <v>13</v>
      </c>
      <c r="R16" s="512">
        <f t="shared" si="0"/>
        <v>14</v>
      </c>
      <c r="S16" s="512">
        <f t="shared" si="0"/>
        <v>15</v>
      </c>
      <c r="T16" s="512">
        <f t="shared" si="0"/>
        <v>16</v>
      </c>
      <c r="U16" s="512">
        <f t="shared" si="0"/>
        <v>17</v>
      </c>
      <c r="V16" s="512">
        <f t="shared" si="0"/>
        <v>18</v>
      </c>
      <c r="W16" s="512">
        <f t="shared" si="0"/>
        <v>19</v>
      </c>
      <c r="X16" s="512">
        <f t="shared" si="0"/>
        <v>20</v>
      </c>
      <c r="Y16" s="512">
        <f t="shared" si="0"/>
        <v>21</v>
      </c>
      <c r="Z16" s="512">
        <f t="shared" si="0"/>
        <v>22</v>
      </c>
      <c r="AA16" s="512">
        <f t="shared" si="0"/>
        <v>23</v>
      </c>
      <c r="AB16" s="512">
        <f t="shared" si="0"/>
        <v>24</v>
      </c>
      <c r="AC16" s="512">
        <f t="shared" si="0"/>
        <v>25</v>
      </c>
      <c r="AD16" s="512">
        <f t="shared" si="0"/>
        <v>26</v>
      </c>
      <c r="AE16" s="512">
        <f t="shared" si="0"/>
        <v>27</v>
      </c>
      <c r="AF16" s="512">
        <f t="shared" si="0"/>
        <v>28</v>
      </c>
      <c r="AG16" s="512">
        <f t="shared" si="0"/>
        <v>29</v>
      </c>
      <c r="AH16" s="512">
        <f t="shared" si="0"/>
        <v>30</v>
      </c>
      <c r="AI16" s="512">
        <f t="shared" si="0"/>
        <v>31</v>
      </c>
      <c r="AJ16" s="512">
        <f t="shared" si="0"/>
        <v>32</v>
      </c>
      <c r="AK16" s="512">
        <f t="shared" si="0"/>
        <v>33</v>
      </c>
      <c r="AL16" s="512">
        <f t="shared" si="0"/>
        <v>34</v>
      </c>
      <c r="AM16" s="512">
        <f t="shared" si="0"/>
        <v>35</v>
      </c>
      <c r="AN16" s="512">
        <f t="shared" si="0"/>
        <v>36</v>
      </c>
      <c r="AO16" s="512">
        <f t="shared" si="0"/>
        <v>37</v>
      </c>
      <c r="AP16" s="512">
        <f t="shared" si="0"/>
        <v>38</v>
      </c>
      <c r="AQ16" s="512">
        <f t="shared" si="0"/>
        <v>39</v>
      </c>
      <c r="AR16" s="513">
        <f t="shared" si="0"/>
        <v>40</v>
      </c>
      <c r="AS16" s="175"/>
    </row>
    <row r="17" spans="2:45" x14ac:dyDescent="0.2">
      <c r="B17" s="175"/>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4"/>
      <c r="AJ17" s="744"/>
      <c r="AK17" s="744"/>
      <c r="AL17" s="744"/>
      <c r="AM17" s="744"/>
      <c r="AN17" s="744"/>
      <c r="AO17" s="744"/>
      <c r="AP17" s="744"/>
      <c r="AQ17" s="744"/>
      <c r="AR17" s="744"/>
      <c r="AS17" s="175"/>
    </row>
    <row r="18" spans="2:45" x14ac:dyDescent="0.2">
      <c r="B18" s="175"/>
      <c r="C18" s="393" t="s">
        <v>76</v>
      </c>
      <c r="D18" s="390"/>
      <c r="E18" s="391">
        <f>IF(E16&gt;$D$12,0,PMT($D$13,$D$12,$D$11))</f>
        <v>0</v>
      </c>
      <c r="F18" s="391">
        <f t="shared" ref="F18:AR18" si="1">IF(F16&gt;$D$12,0,PMT($D$13,$D$12,$D$11))</f>
        <v>0</v>
      </c>
      <c r="G18" s="391">
        <f t="shared" si="1"/>
        <v>0</v>
      </c>
      <c r="H18" s="391">
        <f t="shared" si="1"/>
        <v>0</v>
      </c>
      <c r="I18" s="391">
        <f t="shared" si="1"/>
        <v>0</v>
      </c>
      <c r="J18" s="391">
        <f t="shared" si="1"/>
        <v>0</v>
      </c>
      <c r="K18" s="391">
        <f t="shared" si="1"/>
        <v>0</v>
      </c>
      <c r="L18" s="391">
        <f t="shared" si="1"/>
        <v>0</v>
      </c>
      <c r="M18" s="391">
        <f t="shared" si="1"/>
        <v>0</v>
      </c>
      <c r="N18" s="391">
        <f t="shared" si="1"/>
        <v>0</v>
      </c>
      <c r="O18" s="391">
        <f t="shared" si="1"/>
        <v>0</v>
      </c>
      <c r="P18" s="391">
        <f t="shared" si="1"/>
        <v>0</v>
      </c>
      <c r="Q18" s="391">
        <f t="shared" si="1"/>
        <v>0</v>
      </c>
      <c r="R18" s="391">
        <f t="shared" si="1"/>
        <v>0</v>
      </c>
      <c r="S18" s="391">
        <f t="shared" si="1"/>
        <v>0</v>
      </c>
      <c r="T18" s="391">
        <f t="shared" si="1"/>
        <v>0</v>
      </c>
      <c r="U18" s="391">
        <f t="shared" si="1"/>
        <v>0</v>
      </c>
      <c r="V18" s="391">
        <f t="shared" si="1"/>
        <v>0</v>
      </c>
      <c r="W18" s="391">
        <f t="shared" si="1"/>
        <v>0</v>
      </c>
      <c r="X18" s="391">
        <f t="shared" si="1"/>
        <v>0</v>
      </c>
      <c r="Y18" s="391">
        <f t="shared" si="1"/>
        <v>0</v>
      </c>
      <c r="Z18" s="391">
        <f t="shared" si="1"/>
        <v>0</v>
      </c>
      <c r="AA18" s="391">
        <f t="shared" si="1"/>
        <v>0</v>
      </c>
      <c r="AB18" s="391">
        <f t="shared" si="1"/>
        <v>0</v>
      </c>
      <c r="AC18" s="391">
        <f t="shared" si="1"/>
        <v>0</v>
      </c>
      <c r="AD18" s="391">
        <f t="shared" si="1"/>
        <v>0</v>
      </c>
      <c r="AE18" s="391">
        <f t="shared" si="1"/>
        <v>0</v>
      </c>
      <c r="AF18" s="391">
        <f t="shared" si="1"/>
        <v>0</v>
      </c>
      <c r="AG18" s="391">
        <f t="shared" si="1"/>
        <v>0</v>
      </c>
      <c r="AH18" s="391">
        <f t="shared" si="1"/>
        <v>0</v>
      </c>
      <c r="AI18" s="391">
        <f t="shared" si="1"/>
        <v>0</v>
      </c>
      <c r="AJ18" s="391">
        <f t="shared" si="1"/>
        <v>0</v>
      </c>
      <c r="AK18" s="391">
        <f t="shared" si="1"/>
        <v>0</v>
      </c>
      <c r="AL18" s="391">
        <f t="shared" si="1"/>
        <v>0</v>
      </c>
      <c r="AM18" s="391">
        <f t="shared" si="1"/>
        <v>0</v>
      </c>
      <c r="AN18" s="391">
        <f t="shared" si="1"/>
        <v>0</v>
      </c>
      <c r="AO18" s="391">
        <f t="shared" si="1"/>
        <v>0</v>
      </c>
      <c r="AP18" s="391">
        <f t="shared" si="1"/>
        <v>0</v>
      </c>
      <c r="AQ18" s="391">
        <f t="shared" si="1"/>
        <v>0</v>
      </c>
      <c r="AR18" s="391">
        <f t="shared" si="1"/>
        <v>0</v>
      </c>
      <c r="AS18" s="175"/>
    </row>
    <row r="19" spans="2:45" x14ac:dyDescent="0.2">
      <c r="B19" s="175"/>
      <c r="C19" s="392" t="s">
        <v>57</v>
      </c>
      <c r="D19" s="373"/>
      <c r="E19" s="378">
        <f t="shared" ref="E19:P19" si="2">IF(D21&gt;0,-$D$13*D21,0)</f>
        <v>0</v>
      </c>
      <c r="F19" s="378">
        <f t="shared" si="2"/>
        <v>0</v>
      </c>
      <c r="G19" s="378">
        <f t="shared" si="2"/>
        <v>0</v>
      </c>
      <c r="H19" s="378">
        <f t="shared" si="2"/>
        <v>0</v>
      </c>
      <c r="I19" s="378">
        <f t="shared" si="2"/>
        <v>0</v>
      </c>
      <c r="J19" s="378">
        <f t="shared" si="2"/>
        <v>0</v>
      </c>
      <c r="K19" s="378">
        <f t="shared" si="2"/>
        <v>0</v>
      </c>
      <c r="L19" s="378">
        <f t="shared" si="2"/>
        <v>0</v>
      </c>
      <c r="M19" s="378">
        <f t="shared" si="2"/>
        <v>0</v>
      </c>
      <c r="N19" s="378">
        <f t="shared" si="2"/>
        <v>0</v>
      </c>
      <c r="O19" s="378">
        <f t="shared" si="2"/>
        <v>0</v>
      </c>
      <c r="P19" s="378">
        <f t="shared" si="2"/>
        <v>0</v>
      </c>
      <c r="Q19" s="378">
        <f t="shared" ref="Q19" si="3">IF(P21&gt;0,-$D$13*P21,0)</f>
        <v>0</v>
      </c>
      <c r="R19" s="378">
        <f t="shared" ref="R19" si="4">IF(Q21&gt;0,-$D$13*Q21,0)</f>
        <v>0</v>
      </c>
      <c r="S19" s="378">
        <f t="shared" ref="S19" si="5">IF(R21&gt;0,-$D$13*R21,0)</f>
        <v>0</v>
      </c>
      <c r="T19" s="378">
        <f t="shared" ref="T19" si="6">IF(S21&gt;0,-$D$13*S21,0)</f>
        <v>0</v>
      </c>
      <c r="U19" s="378">
        <f t="shared" ref="U19" si="7">IF(T21&gt;0,-$D$13*T21,0)</f>
        <v>0</v>
      </c>
      <c r="V19" s="378">
        <f t="shared" ref="V19" si="8">IF(U21&gt;0,-$D$13*U21,0)</f>
        <v>0</v>
      </c>
      <c r="W19" s="378">
        <f t="shared" ref="W19" si="9">IF(V21&gt;0,-$D$13*V21,0)</f>
        <v>0</v>
      </c>
      <c r="X19" s="378">
        <f t="shared" ref="X19" si="10">IF(W21&gt;0,-$D$13*W21,0)</f>
        <v>0</v>
      </c>
      <c r="Y19" s="378">
        <f t="shared" ref="Y19" si="11">IF(X21&gt;0,-$D$13*X21,0)</f>
        <v>0</v>
      </c>
      <c r="Z19" s="378">
        <f t="shared" ref="Z19" si="12">IF(Y21&gt;0,-$D$13*Y21,0)</f>
        <v>0</v>
      </c>
      <c r="AA19" s="378">
        <f t="shared" ref="AA19" si="13">IF(Z21&gt;0,-$D$13*Z21,0)</f>
        <v>0</v>
      </c>
      <c r="AB19" s="378">
        <f t="shared" ref="AB19" si="14">IF(AA21&gt;0,-$D$13*AA21,0)</f>
        <v>0</v>
      </c>
      <c r="AC19" s="378">
        <f t="shared" ref="AC19" si="15">IF(AB21&gt;0,-$D$13*AB21,0)</f>
        <v>0</v>
      </c>
      <c r="AD19" s="378">
        <f t="shared" ref="AD19" si="16">IF(AC21&gt;0,-$D$13*AC21,0)</f>
        <v>0</v>
      </c>
      <c r="AE19" s="378">
        <f t="shared" ref="AE19" si="17">IF(AD21&gt;0,-$D$13*AD21,0)</f>
        <v>0</v>
      </c>
      <c r="AF19" s="378">
        <f t="shared" ref="AF19" si="18">IF(AE21&gt;0,-$D$13*AE21,0)</f>
        <v>0</v>
      </c>
      <c r="AG19" s="378">
        <f t="shared" ref="AG19" si="19">IF(AF21&gt;0,-$D$13*AF21,0)</f>
        <v>0</v>
      </c>
      <c r="AH19" s="378">
        <f t="shared" ref="AH19" si="20">IF(AG21&gt;0,-$D$13*AG21,0)</f>
        <v>0</v>
      </c>
      <c r="AI19" s="378">
        <f t="shared" ref="AI19" si="21">IF(AH21&gt;0,-$D$13*AH21,0)</f>
        <v>0</v>
      </c>
      <c r="AJ19" s="378">
        <f t="shared" ref="AJ19" si="22">IF(AI21&gt;0,-$D$13*AI21,0)</f>
        <v>0</v>
      </c>
      <c r="AK19" s="378">
        <f t="shared" ref="AK19" si="23">IF(AJ21&gt;0,-$D$13*AJ21,0)</f>
        <v>0</v>
      </c>
      <c r="AL19" s="378">
        <f t="shared" ref="AL19" si="24">IF(AK21&gt;0,-$D$13*AK21,0)</f>
        <v>0</v>
      </c>
      <c r="AM19" s="378">
        <f t="shared" ref="AM19" si="25">IF(AL21&gt;0,-$D$13*AL21,0)</f>
        <v>0</v>
      </c>
      <c r="AN19" s="378">
        <f t="shared" ref="AN19" si="26">IF(AM21&gt;0,-$D$13*AM21,0)</f>
        <v>0</v>
      </c>
      <c r="AO19" s="378">
        <f t="shared" ref="AO19" si="27">IF(AN21&gt;0,-$D$13*AN21,0)</f>
        <v>0</v>
      </c>
      <c r="AP19" s="378">
        <f t="shared" ref="AP19" si="28">IF(AO21&gt;0,-$D$13*AO21,0)</f>
        <v>0</v>
      </c>
      <c r="AQ19" s="378">
        <f t="shared" ref="AQ19" si="29">IF(AP21&gt;0,-$D$13*AP21,0)</f>
        <v>0</v>
      </c>
      <c r="AR19" s="378">
        <f t="shared" ref="AR19" si="30">IF(AQ21&gt;0,-$D$13*AQ21,0)</f>
        <v>0</v>
      </c>
      <c r="AS19" s="175"/>
    </row>
    <row r="20" spans="2:45" x14ac:dyDescent="0.2">
      <c r="B20" s="175"/>
      <c r="C20" s="393" t="s">
        <v>59</v>
      </c>
      <c r="D20" s="390"/>
      <c r="E20" s="391">
        <f t="shared" ref="E20:P20" si="31">IF(D21&gt;0,E18-E19,0)</f>
        <v>0</v>
      </c>
      <c r="F20" s="391">
        <f t="shared" si="31"/>
        <v>0</v>
      </c>
      <c r="G20" s="391">
        <f t="shared" si="31"/>
        <v>0</v>
      </c>
      <c r="H20" s="391">
        <f t="shared" si="31"/>
        <v>0</v>
      </c>
      <c r="I20" s="391">
        <f t="shared" si="31"/>
        <v>0</v>
      </c>
      <c r="J20" s="391">
        <f t="shared" si="31"/>
        <v>0</v>
      </c>
      <c r="K20" s="391">
        <f t="shared" si="31"/>
        <v>0</v>
      </c>
      <c r="L20" s="391">
        <f t="shared" si="31"/>
        <v>0</v>
      </c>
      <c r="M20" s="391">
        <f t="shared" si="31"/>
        <v>0</v>
      </c>
      <c r="N20" s="391">
        <f t="shared" si="31"/>
        <v>0</v>
      </c>
      <c r="O20" s="391">
        <f t="shared" si="31"/>
        <v>0</v>
      </c>
      <c r="P20" s="391">
        <f t="shared" si="31"/>
        <v>0</v>
      </c>
      <c r="Q20" s="391">
        <f t="shared" ref="Q20" si="32">IF(P21&gt;0,Q18-Q19,0)</f>
        <v>0</v>
      </c>
      <c r="R20" s="391">
        <f t="shared" ref="R20" si="33">IF(Q21&gt;0,R18-R19,0)</f>
        <v>0</v>
      </c>
      <c r="S20" s="391">
        <f t="shared" ref="S20" si="34">IF(R21&gt;0,S18-S19,0)</f>
        <v>0</v>
      </c>
      <c r="T20" s="391">
        <f t="shared" ref="T20" si="35">IF(S21&gt;0,T18-T19,0)</f>
        <v>0</v>
      </c>
      <c r="U20" s="391">
        <f t="shared" ref="U20" si="36">IF(T21&gt;0,U18-U19,0)</f>
        <v>0</v>
      </c>
      <c r="V20" s="391">
        <f t="shared" ref="V20" si="37">IF(U21&gt;0,V18-V19,0)</f>
        <v>0</v>
      </c>
      <c r="W20" s="391">
        <f t="shared" ref="W20" si="38">IF(V21&gt;0,W18-W19,0)</f>
        <v>0</v>
      </c>
      <c r="X20" s="391">
        <f t="shared" ref="X20" si="39">IF(W21&gt;0,X18-X19,0)</f>
        <v>0</v>
      </c>
      <c r="Y20" s="391">
        <f t="shared" ref="Y20" si="40">IF(X21&gt;0,Y18-Y19,0)</f>
        <v>0</v>
      </c>
      <c r="Z20" s="391">
        <f t="shared" ref="Z20" si="41">IF(Y21&gt;0,Z18-Z19,0)</f>
        <v>0</v>
      </c>
      <c r="AA20" s="391">
        <f t="shared" ref="AA20" si="42">IF(Z21&gt;0,AA18-AA19,0)</f>
        <v>0</v>
      </c>
      <c r="AB20" s="391">
        <f t="shared" ref="AB20" si="43">IF(AA21&gt;0,AB18-AB19,0)</f>
        <v>0</v>
      </c>
      <c r="AC20" s="391">
        <f t="shared" ref="AC20" si="44">IF(AB21&gt;0,AC18-AC19,0)</f>
        <v>0</v>
      </c>
      <c r="AD20" s="391">
        <f t="shared" ref="AD20" si="45">IF(AC21&gt;0,AD18-AD19,0)</f>
        <v>0</v>
      </c>
      <c r="AE20" s="391">
        <f t="shared" ref="AE20" si="46">IF(AD21&gt;0,AE18-AE19,0)</f>
        <v>0</v>
      </c>
      <c r="AF20" s="391">
        <f t="shared" ref="AF20" si="47">IF(AE21&gt;0,AF18-AF19,0)</f>
        <v>0</v>
      </c>
      <c r="AG20" s="391">
        <f t="shared" ref="AG20" si="48">IF(AF21&gt;0,AG18-AG19,0)</f>
        <v>0</v>
      </c>
      <c r="AH20" s="391">
        <f t="shared" ref="AH20" si="49">IF(AG21&gt;0,AH18-AH19,0)</f>
        <v>0</v>
      </c>
      <c r="AI20" s="391">
        <f t="shared" ref="AI20" si="50">IF(AH21&gt;0,AI18-AI19,0)</f>
        <v>0</v>
      </c>
      <c r="AJ20" s="391">
        <f t="shared" ref="AJ20" si="51">IF(AI21&gt;0,AJ18-AJ19,0)</f>
        <v>0</v>
      </c>
      <c r="AK20" s="391">
        <f t="shared" ref="AK20" si="52">IF(AJ21&gt;0,AK18-AK19,0)</f>
        <v>0</v>
      </c>
      <c r="AL20" s="391">
        <f t="shared" ref="AL20" si="53">IF(AK21&gt;0,AL18-AL19,0)</f>
        <v>0</v>
      </c>
      <c r="AM20" s="391">
        <f t="shared" ref="AM20" si="54">IF(AL21&gt;0,AM18-AM19,0)</f>
        <v>0</v>
      </c>
      <c r="AN20" s="391">
        <f t="shared" ref="AN20" si="55">IF(AM21&gt;0,AN18-AN19,0)</f>
        <v>0</v>
      </c>
      <c r="AO20" s="391">
        <f t="shared" ref="AO20" si="56">IF(AN21&gt;0,AO18-AO19,0)</f>
        <v>0</v>
      </c>
      <c r="AP20" s="391">
        <f t="shared" ref="AP20" si="57">IF(AO21&gt;0,AP18-AP19,0)</f>
        <v>0</v>
      </c>
      <c r="AQ20" s="391">
        <f t="shared" ref="AQ20" si="58">IF(AP21&gt;0,AQ18-AQ19,0)</f>
        <v>0</v>
      </c>
      <c r="AR20" s="391">
        <f t="shared" ref="AR20" si="59">IF(AQ21&gt;0,AR18-AR19,0)</f>
        <v>0</v>
      </c>
      <c r="AS20" s="175"/>
    </row>
    <row r="21" spans="2:45" x14ac:dyDescent="0.2">
      <c r="B21" s="175"/>
      <c r="C21" s="392" t="s">
        <v>58</v>
      </c>
      <c r="D21" s="377">
        <f>D11</f>
        <v>0</v>
      </c>
      <c r="E21" s="378">
        <f t="shared" ref="E21:P21" si="60">D21+E20</f>
        <v>0</v>
      </c>
      <c r="F21" s="378">
        <f t="shared" si="60"/>
        <v>0</v>
      </c>
      <c r="G21" s="378">
        <f t="shared" si="60"/>
        <v>0</v>
      </c>
      <c r="H21" s="378">
        <f t="shared" si="60"/>
        <v>0</v>
      </c>
      <c r="I21" s="378">
        <f t="shared" si="60"/>
        <v>0</v>
      </c>
      <c r="J21" s="378">
        <f t="shared" si="60"/>
        <v>0</v>
      </c>
      <c r="K21" s="378">
        <f t="shared" si="60"/>
        <v>0</v>
      </c>
      <c r="L21" s="378">
        <f t="shared" si="60"/>
        <v>0</v>
      </c>
      <c r="M21" s="378">
        <f t="shared" si="60"/>
        <v>0</v>
      </c>
      <c r="N21" s="378">
        <f t="shared" si="60"/>
        <v>0</v>
      </c>
      <c r="O21" s="378">
        <f t="shared" si="60"/>
        <v>0</v>
      </c>
      <c r="P21" s="378">
        <f t="shared" si="60"/>
        <v>0</v>
      </c>
      <c r="Q21" s="378">
        <f t="shared" ref="Q21" si="61">P21+Q20</f>
        <v>0</v>
      </c>
      <c r="R21" s="378">
        <f t="shared" ref="R21" si="62">Q21+R20</f>
        <v>0</v>
      </c>
      <c r="S21" s="378">
        <f t="shared" ref="S21" si="63">R21+S20</f>
        <v>0</v>
      </c>
      <c r="T21" s="378">
        <f t="shared" ref="T21" si="64">S21+T20</f>
        <v>0</v>
      </c>
      <c r="U21" s="378">
        <f t="shared" ref="U21" si="65">T21+U20</f>
        <v>0</v>
      </c>
      <c r="V21" s="378">
        <f t="shared" ref="V21" si="66">U21+V20</f>
        <v>0</v>
      </c>
      <c r="W21" s="378">
        <f t="shared" ref="W21" si="67">V21+W20</f>
        <v>0</v>
      </c>
      <c r="X21" s="378">
        <f t="shared" ref="X21" si="68">W21+X20</f>
        <v>0</v>
      </c>
      <c r="Y21" s="378">
        <f t="shared" ref="Y21" si="69">X21+Y20</f>
        <v>0</v>
      </c>
      <c r="Z21" s="378">
        <f t="shared" ref="Z21" si="70">Y21+Z20</f>
        <v>0</v>
      </c>
      <c r="AA21" s="378">
        <f t="shared" ref="AA21" si="71">Z21+AA20</f>
        <v>0</v>
      </c>
      <c r="AB21" s="378">
        <f t="shared" ref="AB21" si="72">AA21+AB20</f>
        <v>0</v>
      </c>
      <c r="AC21" s="378">
        <f t="shared" ref="AC21" si="73">AB21+AC20</f>
        <v>0</v>
      </c>
      <c r="AD21" s="378">
        <f t="shared" ref="AD21" si="74">AC21+AD20</f>
        <v>0</v>
      </c>
      <c r="AE21" s="378">
        <f t="shared" ref="AE21" si="75">AD21+AE20</f>
        <v>0</v>
      </c>
      <c r="AF21" s="378">
        <f t="shared" ref="AF21" si="76">AE21+AF20</f>
        <v>0</v>
      </c>
      <c r="AG21" s="378">
        <f t="shared" ref="AG21" si="77">AF21+AG20</f>
        <v>0</v>
      </c>
      <c r="AH21" s="378">
        <f t="shared" ref="AH21" si="78">AG21+AH20</f>
        <v>0</v>
      </c>
      <c r="AI21" s="378">
        <f t="shared" ref="AI21" si="79">AH21+AI20</f>
        <v>0</v>
      </c>
      <c r="AJ21" s="378">
        <f t="shared" ref="AJ21" si="80">AI21+AJ20</f>
        <v>0</v>
      </c>
      <c r="AK21" s="378">
        <f t="shared" ref="AK21" si="81">AJ21+AK20</f>
        <v>0</v>
      </c>
      <c r="AL21" s="378">
        <f t="shared" ref="AL21" si="82">AK21+AL20</f>
        <v>0</v>
      </c>
      <c r="AM21" s="378">
        <f t="shared" ref="AM21" si="83">AL21+AM20</f>
        <v>0</v>
      </c>
      <c r="AN21" s="378">
        <f t="shared" ref="AN21" si="84">AM21+AN20</f>
        <v>0</v>
      </c>
      <c r="AO21" s="378">
        <f t="shared" ref="AO21" si="85">AN21+AO20</f>
        <v>0</v>
      </c>
      <c r="AP21" s="378">
        <f t="shared" ref="AP21" si="86">AO21+AP20</f>
        <v>0</v>
      </c>
      <c r="AQ21" s="378">
        <f t="shared" ref="AQ21" si="87">AP21+AQ20</f>
        <v>0</v>
      </c>
      <c r="AR21" s="378">
        <f t="shared" ref="AR21" si="88">AQ21+AR20</f>
        <v>0</v>
      </c>
      <c r="AS21" s="175"/>
    </row>
    <row r="22" spans="2:45" x14ac:dyDescent="0.2">
      <c r="B22" s="175"/>
      <c r="C22" s="238"/>
      <c r="D22" s="388"/>
      <c r="E22" s="389"/>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175"/>
    </row>
    <row r="23" spans="2:45" x14ac:dyDescent="0.2">
      <c r="B23" s="175"/>
      <c r="C23" s="175"/>
      <c r="D23" s="342">
        <f>-D21</f>
        <v>0</v>
      </c>
      <c r="E23" s="342">
        <f>-E18</f>
        <v>0</v>
      </c>
      <c r="F23" s="342">
        <f t="shared" ref="F23:P23" si="89">-F18</f>
        <v>0</v>
      </c>
      <c r="G23" s="342">
        <f t="shared" si="89"/>
        <v>0</v>
      </c>
      <c r="H23" s="342">
        <f t="shared" si="89"/>
        <v>0</v>
      </c>
      <c r="I23" s="342">
        <f t="shared" si="89"/>
        <v>0</v>
      </c>
      <c r="J23" s="342">
        <f t="shared" si="89"/>
        <v>0</v>
      </c>
      <c r="K23" s="342">
        <f t="shared" si="89"/>
        <v>0</v>
      </c>
      <c r="L23" s="342">
        <f t="shared" si="89"/>
        <v>0</v>
      </c>
      <c r="M23" s="342">
        <f t="shared" si="89"/>
        <v>0</v>
      </c>
      <c r="N23" s="342">
        <f t="shared" si="89"/>
        <v>0</v>
      </c>
      <c r="O23" s="342">
        <f t="shared" si="89"/>
        <v>0</v>
      </c>
      <c r="P23" s="342">
        <f t="shared" si="89"/>
        <v>0</v>
      </c>
      <c r="Q23" s="342">
        <f t="shared" ref="Q23:AR23" si="90">-Q18</f>
        <v>0</v>
      </c>
      <c r="R23" s="342">
        <f t="shared" si="90"/>
        <v>0</v>
      </c>
      <c r="S23" s="342">
        <f t="shared" si="90"/>
        <v>0</v>
      </c>
      <c r="T23" s="342">
        <f t="shared" si="90"/>
        <v>0</v>
      </c>
      <c r="U23" s="342">
        <f t="shared" si="90"/>
        <v>0</v>
      </c>
      <c r="V23" s="342">
        <f t="shared" si="90"/>
        <v>0</v>
      </c>
      <c r="W23" s="342">
        <f t="shared" si="90"/>
        <v>0</v>
      </c>
      <c r="X23" s="342">
        <f t="shared" si="90"/>
        <v>0</v>
      </c>
      <c r="Y23" s="342">
        <f t="shared" si="90"/>
        <v>0</v>
      </c>
      <c r="Z23" s="342">
        <f t="shared" si="90"/>
        <v>0</v>
      </c>
      <c r="AA23" s="342">
        <f t="shared" si="90"/>
        <v>0</v>
      </c>
      <c r="AB23" s="342">
        <f t="shared" si="90"/>
        <v>0</v>
      </c>
      <c r="AC23" s="342">
        <f t="shared" si="90"/>
        <v>0</v>
      </c>
      <c r="AD23" s="342">
        <f t="shared" si="90"/>
        <v>0</v>
      </c>
      <c r="AE23" s="342">
        <f t="shared" si="90"/>
        <v>0</v>
      </c>
      <c r="AF23" s="342">
        <f t="shared" si="90"/>
        <v>0</v>
      </c>
      <c r="AG23" s="342">
        <f t="shared" si="90"/>
        <v>0</v>
      </c>
      <c r="AH23" s="342">
        <f t="shared" si="90"/>
        <v>0</v>
      </c>
      <c r="AI23" s="342">
        <f t="shared" si="90"/>
        <v>0</v>
      </c>
      <c r="AJ23" s="342">
        <f t="shared" si="90"/>
        <v>0</v>
      </c>
      <c r="AK23" s="342">
        <f t="shared" si="90"/>
        <v>0</v>
      </c>
      <c r="AL23" s="342">
        <f t="shared" si="90"/>
        <v>0</v>
      </c>
      <c r="AM23" s="342">
        <f t="shared" si="90"/>
        <v>0</v>
      </c>
      <c r="AN23" s="342">
        <f t="shared" si="90"/>
        <v>0</v>
      </c>
      <c r="AO23" s="342">
        <f t="shared" si="90"/>
        <v>0</v>
      </c>
      <c r="AP23" s="342">
        <f t="shared" si="90"/>
        <v>0</v>
      </c>
      <c r="AQ23" s="342">
        <f t="shared" si="90"/>
        <v>0</v>
      </c>
      <c r="AR23" s="342">
        <f t="shared" si="90"/>
        <v>0</v>
      </c>
      <c r="AS23" s="175"/>
    </row>
    <row r="24" spans="2:45" x14ac:dyDescent="0.2">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row>
    <row r="25" spans="2:45" x14ac:dyDescent="0.2">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row>
    <row r="26" spans="2:45" x14ac:dyDescent="0.2">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row>
    <row r="27" spans="2:45" x14ac:dyDescent="0.2">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row>
  </sheetData>
  <mergeCells count="1">
    <mergeCell ref="C17:AR17"/>
  </mergeCells>
  <dataValidations count="2">
    <dataValidation type="custom" allowBlank="1" showInputMessage="1" showErrorMessage="1" errorTitle="Error" error="No input allowed on this cell. Check the Capital Costs Details tab and/or the Tariffs Inputs tab" promptTitle="Note" prompt="No input required" sqref="D5:AU6 C16:C17 C11:C13 E16:AR16 D7:E13 C7:C9 C18:D22 E19:AR22">
      <formula1>0</formula1>
    </dataValidation>
    <dataValidation type="custom" allowBlank="1" showInputMessage="1" showErrorMessage="1" errorTitle="Error" error="No input allowed on this cell. Check the Capital Costs Details tab and/or the Tariffs Inputs tab" promptTitle="Note" prompt="No input required" sqref="C10">
      <formula1>0</formula1>
    </dataValidation>
  </dataValidations>
  <pageMargins left="0.70866141732283472" right="0.70866141732283472" top="0.74803149606299213" bottom="0.74803149606299213" header="0.31496062992125984" footer="0.31496062992125984"/>
  <pageSetup scale="61" fitToHeight="0" orientation="landscape" r:id="rId1"/>
  <headerFooter>
    <oddHeader>&amp;C&amp;A</oddHeader>
    <oddFooter>&amp;CPage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B1:AT111"/>
  <sheetViews>
    <sheetView showGridLines="0" topLeftCell="AI1" zoomScaleNormal="100" workbookViewId="0">
      <pane ySplit="5" topLeftCell="A6" activePane="bottomLeft" state="frozen"/>
      <selection pane="bottomLeft" activeCell="AR10" sqref="AR10"/>
    </sheetView>
  </sheetViews>
  <sheetFormatPr defaultColWidth="9.140625" defaultRowHeight="12.75" x14ac:dyDescent="0.2"/>
  <cols>
    <col min="1" max="2" width="1.42578125" style="170" customWidth="1"/>
    <col min="3" max="3" width="43.7109375" style="170" bestFit="1" customWidth="1"/>
    <col min="4" max="44" width="13.42578125" style="170" customWidth="1"/>
    <col min="45" max="16384" width="9.140625" style="170"/>
  </cols>
  <sheetData>
    <row r="1" spans="2:45" ht="7.5" customHeight="1" x14ac:dyDescent="0.2"/>
    <row r="2" spans="2:45" ht="7.5" customHeight="1" x14ac:dyDescent="0.2">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row>
    <row r="3" spans="2:45" s="174" customFormat="1" ht="18.75" x14ac:dyDescent="0.3">
      <c r="B3" s="342"/>
      <c r="C3" s="304" t="s">
        <v>425</v>
      </c>
      <c r="D3" s="343"/>
      <c r="E3" s="343"/>
      <c r="F3" s="343"/>
      <c r="G3" s="343"/>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row>
    <row r="4" spans="2:45" s="174" customFormat="1" ht="18.75" x14ac:dyDescent="0.3">
      <c r="B4" s="342"/>
      <c r="C4" s="304"/>
      <c r="D4" s="343"/>
      <c r="E4" s="343"/>
      <c r="F4" s="343"/>
      <c r="G4" s="343"/>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row>
    <row r="5" spans="2:45" s="174" customFormat="1" x14ac:dyDescent="0.2">
      <c r="B5" s="342"/>
      <c r="C5" s="306"/>
      <c r="D5" s="506" t="s">
        <v>62</v>
      </c>
      <c r="E5" s="507">
        <v>1</v>
      </c>
      <c r="F5" s="507">
        <f>E5+1</f>
        <v>2</v>
      </c>
      <c r="G5" s="507">
        <f t="shared" ref="G5:AQ5" si="0">F5+1</f>
        <v>3</v>
      </c>
      <c r="H5" s="507">
        <f t="shared" si="0"/>
        <v>4</v>
      </c>
      <c r="I5" s="507">
        <f t="shared" si="0"/>
        <v>5</v>
      </c>
      <c r="J5" s="507">
        <f t="shared" si="0"/>
        <v>6</v>
      </c>
      <c r="K5" s="507">
        <f t="shared" si="0"/>
        <v>7</v>
      </c>
      <c r="L5" s="507">
        <f t="shared" si="0"/>
        <v>8</v>
      </c>
      <c r="M5" s="507">
        <f t="shared" si="0"/>
        <v>9</v>
      </c>
      <c r="N5" s="507">
        <f t="shared" si="0"/>
        <v>10</v>
      </c>
      <c r="O5" s="507">
        <f t="shared" si="0"/>
        <v>11</v>
      </c>
      <c r="P5" s="507">
        <f t="shared" si="0"/>
        <v>12</v>
      </c>
      <c r="Q5" s="507">
        <f t="shared" si="0"/>
        <v>13</v>
      </c>
      <c r="R5" s="507">
        <f t="shared" si="0"/>
        <v>14</v>
      </c>
      <c r="S5" s="507">
        <f t="shared" si="0"/>
        <v>15</v>
      </c>
      <c r="T5" s="507">
        <f t="shared" si="0"/>
        <v>16</v>
      </c>
      <c r="U5" s="507">
        <f t="shared" si="0"/>
        <v>17</v>
      </c>
      <c r="V5" s="507">
        <f t="shared" si="0"/>
        <v>18</v>
      </c>
      <c r="W5" s="507">
        <f t="shared" si="0"/>
        <v>19</v>
      </c>
      <c r="X5" s="507">
        <f t="shared" si="0"/>
        <v>20</v>
      </c>
      <c r="Y5" s="507">
        <f t="shared" si="0"/>
        <v>21</v>
      </c>
      <c r="Z5" s="507">
        <f t="shared" si="0"/>
        <v>22</v>
      </c>
      <c r="AA5" s="507">
        <f t="shared" si="0"/>
        <v>23</v>
      </c>
      <c r="AB5" s="507">
        <f t="shared" si="0"/>
        <v>24</v>
      </c>
      <c r="AC5" s="507">
        <f t="shared" si="0"/>
        <v>25</v>
      </c>
      <c r="AD5" s="507">
        <f t="shared" si="0"/>
        <v>26</v>
      </c>
      <c r="AE5" s="507">
        <f t="shared" si="0"/>
        <v>27</v>
      </c>
      <c r="AF5" s="507">
        <f t="shared" si="0"/>
        <v>28</v>
      </c>
      <c r="AG5" s="507">
        <f t="shared" si="0"/>
        <v>29</v>
      </c>
      <c r="AH5" s="507">
        <f t="shared" si="0"/>
        <v>30</v>
      </c>
      <c r="AI5" s="507">
        <f t="shared" si="0"/>
        <v>31</v>
      </c>
      <c r="AJ5" s="507">
        <f t="shared" si="0"/>
        <v>32</v>
      </c>
      <c r="AK5" s="507">
        <f t="shared" si="0"/>
        <v>33</v>
      </c>
      <c r="AL5" s="507">
        <f t="shared" si="0"/>
        <v>34</v>
      </c>
      <c r="AM5" s="507">
        <f t="shared" si="0"/>
        <v>35</v>
      </c>
      <c r="AN5" s="507">
        <f t="shared" si="0"/>
        <v>36</v>
      </c>
      <c r="AO5" s="507">
        <f t="shared" si="0"/>
        <v>37</v>
      </c>
      <c r="AP5" s="507">
        <f t="shared" si="0"/>
        <v>38</v>
      </c>
      <c r="AQ5" s="507">
        <f t="shared" si="0"/>
        <v>39</v>
      </c>
      <c r="AR5" s="508">
        <f>AQ5+1</f>
        <v>40</v>
      </c>
      <c r="AS5" s="342"/>
    </row>
    <row r="6" spans="2:45" s="174" customFormat="1" x14ac:dyDescent="0.2">
      <c r="B6" s="342"/>
      <c r="C6" s="306"/>
      <c r="D6" s="395"/>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42"/>
    </row>
    <row r="7" spans="2:45" s="174" customFormat="1" x14ac:dyDescent="0.2">
      <c r="B7" s="342"/>
      <c r="C7" s="529" t="s">
        <v>349</v>
      </c>
      <c r="D7" s="376"/>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row>
    <row r="8" spans="2:45" x14ac:dyDescent="0.2">
      <c r="B8" s="175"/>
      <c r="C8" s="536" t="s">
        <v>278</v>
      </c>
      <c r="D8" s="108"/>
      <c r="E8" s="400">
        <f>'Tariff Calculator'!E10*'Tariff Calculator'!E41</f>
        <v>0</v>
      </c>
      <c r="F8" s="400">
        <f>'Tariff Calculator'!F10*'Tariff Calculator'!F41</f>
        <v>0</v>
      </c>
      <c r="G8" s="400">
        <f>'Tariff Calculator'!G10*'Tariff Calculator'!G41</f>
        <v>0</v>
      </c>
      <c r="H8" s="400">
        <f>'Tariff Calculator'!H10*'Tariff Calculator'!H41</f>
        <v>0</v>
      </c>
      <c r="I8" s="400">
        <f>'Tariff Calculator'!I10*'Tariff Calculator'!I41</f>
        <v>0</v>
      </c>
      <c r="J8" s="400">
        <f>'Tariff Calculator'!J10*'Tariff Calculator'!J41</f>
        <v>0</v>
      </c>
      <c r="K8" s="400">
        <f>'Tariff Calculator'!K10*'Tariff Calculator'!K41</f>
        <v>0</v>
      </c>
      <c r="L8" s="400">
        <f>'Tariff Calculator'!L10*'Tariff Calculator'!L41</f>
        <v>0</v>
      </c>
      <c r="M8" s="400">
        <f>'Tariff Calculator'!M10*'Tariff Calculator'!M41</f>
        <v>0</v>
      </c>
      <c r="N8" s="400">
        <f>'Tariff Calculator'!N10*'Tariff Calculator'!N41</f>
        <v>0</v>
      </c>
      <c r="O8" s="400">
        <f>'Tariff Calculator'!O10*'Tariff Calculator'!O41</f>
        <v>0</v>
      </c>
      <c r="P8" s="400">
        <f>'Tariff Calculator'!P10*'Tariff Calculator'!P41</f>
        <v>0</v>
      </c>
      <c r="Q8" s="400">
        <f>'Tariff Calculator'!Q10*'Tariff Calculator'!Q41</f>
        <v>0</v>
      </c>
      <c r="R8" s="400">
        <f>'Tariff Calculator'!R10*'Tariff Calculator'!R41</f>
        <v>0</v>
      </c>
      <c r="S8" s="400">
        <f>'Tariff Calculator'!S10*'Tariff Calculator'!S41</f>
        <v>0</v>
      </c>
      <c r="T8" s="400">
        <f>'Tariff Calculator'!T10*'Tariff Calculator'!T41</f>
        <v>0</v>
      </c>
      <c r="U8" s="400">
        <f>'Tariff Calculator'!U10*'Tariff Calculator'!U41</f>
        <v>0</v>
      </c>
      <c r="V8" s="400">
        <f>'Tariff Calculator'!V10*'Tariff Calculator'!V41</f>
        <v>0</v>
      </c>
      <c r="W8" s="400">
        <f>'Tariff Calculator'!W10*'Tariff Calculator'!W41</f>
        <v>0</v>
      </c>
      <c r="X8" s="400">
        <f>'Tariff Calculator'!X10*'Tariff Calculator'!X41</f>
        <v>0</v>
      </c>
      <c r="Y8" s="400">
        <f>'Tariff Calculator'!Y10*'Tariff Calculator'!Y41</f>
        <v>0</v>
      </c>
      <c r="Z8" s="400">
        <f>'Tariff Calculator'!Z10*'Tariff Calculator'!Z41</f>
        <v>0</v>
      </c>
      <c r="AA8" s="400">
        <f>'Tariff Calculator'!AA10*'Tariff Calculator'!AA41</f>
        <v>0</v>
      </c>
      <c r="AB8" s="400">
        <f>'Tariff Calculator'!AB10*'Tariff Calculator'!AB41</f>
        <v>0</v>
      </c>
      <c r="AC8" s="400">
        <f>'Tariff Calculator'!AC10*'Tariff Calculator'!AC41</f>
        <v>0</v>
      </c>
      <c r="AD8" s="400">
        <f>'Tariff Calculator'!AD10*'Tariff Calculator'!AD41</f>
        <v>0</v>
      </c>
      <c r="AE8" s="400">
        <f>'Tariff Calculator'!AE10*'Tariff Calculator'!AE41</f>
        <v>0</v>
      </c>
      <c r="AF8" s="400">
        <f>'Tariff Calculator'!AF10*'Tariff Calculator'!AF41</f>
        <v>0</v>
      </c>
      <c r="AG8" s="400">
        <f>'Tariff Calculator'!AG10*'Tariff Calculator'!AG41</f>
        <v>0</v>
      </c>
      <c r="AH8" s="400">
        <f>'Tariff Calculator'!AH10*'Tariff Calculator'!AH41</f>
        <v>0</v>
      </c>
      <c r="AI8" s="400">
        <f>'Tariff Calculator'!AI10*'Tariff Calculator'!AI41</f>
        <v>0</v>
      </c>
      <c r="AJ8" s="400">
        <f>'Tariff Calculator'!AJ10*'Tariff Calculator'!AJ41</f>
        <v>0</v>
      </c>
      <c r="AK8" s="400">
        <f>'Tariff Calculator'!AK10*'Tariff Calculator'!AK41</f>
        <v>0</v>
      </c>
      <c r="AL8" s="400">
        <f>'Tariff Calculator'!AL10*'Tariff Calculator'!AL41</f>
        <v>0</v>
      </c>
      <c r="AM8" s="400">
        <f>'Tariff Calculator'!AM10*'Tariff Calculator'!AM41</f>
        <v>0</v>
      </c>
      <c r="AN8" s="400">
        <f>'Tariff Calculator'!AN10*'Tariff Calculator'!AN41</f>
        <v>0</v>
      </c>
      <c r="AO8" s="400">
        <f>'Tariff Calculator'!AO10*'Tariff Calculator'!AO41</f>
        <v>0</v>
      </c>
      <c r="AP8" s="400">
        <f>'Tariff Calculator'!AP10*'Tariff Calculator'!AP41</f>
        <v>0</v>
      </c>
      <c r="AQ8" s="400">
        <f>'Tariff Calculator'!AQ10*'Tariff Calculator'!AQ41</f>
        <v>0</v>
      </c>
      <c r="AR8" s="418">
        <f>'Tariff Calculator'!AR10*'Tariff Calculator'!AR41</f>
        <v>0</v>
      </c>
      <c r="AS8" s="175"/>
    </row>
    <row r="9" spans="2:45" x14ac:dyDescent="0.2">
      <c r="B9" s="175"/>
      <c r="C9" s="176" t="s">
        <v>588</v>
      </c>
      <c r="D9" s="54"/>
      <c r="E9" s="377">
        <f>-'Tariff Calculator'!E21</f>
        <v>0</v>
      </c>
      <c r="F9" s="377">
        <f>-'Tariff Calculator'!F21</f>
        <v>0</v>
      </c>
      <c r="G9" s="377">
        <f>-'Tariff Calculator'!G21</f>
        <v>0</v>
      </c>
      <c r="H9" s="377">
        <f>-'Tariff Calculator'!H21</f>
        <v>0</v>
      </c>
      <c r="I9" s="377">
        <f>-'Tariff Calculator'!I21</f>
        <v>0</v>
      </c>
      <c r="J9" s="377">
        <f>-'Tariff Calculator'!J21</f>
        <v>0</v>
      </c>
      <c r="K9" s="377">
        <f>-'Tariff Calculator'!K21</f>
        <v>0</v>
      </c>
      <c r="L9" s="377">
        <f>-'Tariff Calculator'!L21</f>
        <v>0</v>
      </c>
      <c r="M9" s="377">
        <f>-'Tariff Calculator'!M21</f>
        <v>0</v>
      </c>
      <c r="N9" s="377">
        <f>-'Tariff Calculator'!N21</f>
        <v>0</v>
      </c>
      <c r="O9" s="377">
        <f>-'Tariff Calculator'!O21</f>
        <v>0</v>
      </c>
      <c r="P9" s="377">
        <f>-'Tariff Calculator'!P21</f>
        <v>0</v>
      </c>
      <c r="Q9" s="377">
        <f>-'Tariff Calculator'!Q21</f>
        <v>0</v>
      </c>
      <c r="R9" s="377">
        <f>-'Tariff Calculator'!R21</f>
        <v>0</v>
      </c>
      <c r="S9" s="377">
        <f>-'Tariff Calculator'!S21</f>
        <v>0</v>
      </c>
      <c r="T9" s="377">
        <f>-'Tariff Calculator'!T21</f>
        <v>0</v>
      </c>
      <c r="U9" s="377">
        <f>-'Tariff Calculator'!U21</f>
        <v>0</v>
      </c>
      <c r="V9" s="377">
        <f>-'Tariff Calculator'!V21</f>
        <v>0</v>
      </c>
      <c r="W9" s="377">
        <f>-'Tariff Calculator'!W21</f>
        <v>0</v>
      </c>
      <c r="X9" s="377">
        <f>-'Tariff Calculator'!X21</f>
        <v>0</v>
      </c>
      <c r="Y9" s="377">
        <f>-'Tariff Calculator'!Y21</f>
        <v>0</v>
      </c>
      <c r="Z9" s="377">
        <f>-'Tariff Calculator'!Z21</f>
        <v>0</v>
      </c>
      <c r="AA9" s="377">
        <f>-'Tariff Calculator'!AA21</f>
        <v>0</v>
      </c>
      <c r="AB9" s="377">
        <f>-'Tariff Calculator'!AB21</f>
        <v>0</v>
      </c>
      <c r="AC9" s="377">
        <f>-'Tariff Calculator'!AC21</f>
        <v>0</v>
      </c>
      <c r="AD9" s="377">
        <f>-'Tariff Calculator'!AD21</f>
        <v>0</v>
      </c>
      <c r="AE9" s="377">
        <f>-'Tariff Calculator'!AE21</f>
        <v>0</v>
      </c>
      <c r="AF9" s="377">
        <f>-'Tariff Calculator'!AF21</f>
        <v>0</v>
      </c>
      <c r="AG9" s="377">
        <f>-'Tariff Calculator'!AG21</f>
        <v>0</v>
      </c>
      <c r="AH9" s="377">
        <f>-'Tariff Calculator'!AH21</f>
        <v>0</v>
      </c>
      <c r="AI9" s="377">
        <f>-'Tariff Calculator'!AI21</f>
        <v>0</v>
      </c>
      <c r="AJ9" s="377">
        <f>-'Tariff Calculator'!AJ21</f>
        <v>0</v>
      </c>
      <c r="AK9" s="377">
        <f>-'Tariff Calculator'!AK21</f>
        <v>0</v>
      </c>
      <c r="AL9" s="377">
        <f>-'Tariff Calculator'!AL21</f>
        <v>0</v>
      </c>
      <c r="AM9" s="377">
        <f>-'Tariff Calculator'!AM21</f>
        <v>0</v>
      </c>
      <c r="AN9" s="377">
        <f>-'Tariff Calculator'!AN21</f>
        <v>0</v>
      </c>
      <c r="AO9" s="377">
        <f>-'Tariff Calculator'!AO21</f>
        <v>0</v>
      </c>
      <c r="AP9" s="377">
        <f>-'Tariff Calculator'!AP21</f>
        <v>0</v>
      </c>
      <c r="AQ9" s="377">
        <f>-'Tariff Calculator'!AQ21</f>
        <v>0</v>
      </c>
      <c r="AR9" s="385">
        <f>-'Tariff Calculator'!AR21</f>
        <v>0</v>
      </c>
      <c r="AS9" s="175"/>
    </row>
    <row r="10" spans="2:45" x14ac:dyDescent="0.2">
      <c r="B10" s="175"/>
      <c r="C10" s="176" t="s">
        <v>279</v>
      </c>
      <c r="D10" s="54"/>
      <c r="E10" s="377">
        <f>-('Tariff Calculator'!E17+'Tariff Calculator'!E20)</f>
        <v>0</v>
      </c>
      <c r="F10" s="377">
        <f>-('Tariff Calculator'!F17+'Tariff Calculator'!F20)</f>
        <v>0</v>
      </c>
      <c r="G10" s="377">
        <f>-('Tariff Calculator'!G17+'Tariff Calculator'!G20)</f>
        <v>0</v>
      </c>
      <c r="H10" s="377">
        <f>-('Tariff Calculator'!H17+'Tariff Calculator'!H20)</f>
        <v>0</v>
      </c>
      <c r="I10" s="377">
        <f>-('Tariff Calculator'!I17+'Tariff Calculator'!I20)</f>
        <v>0</v>
      </c>
      <c r="J10" s="377">
        <f>-('Tariff Calculator'!J17+'Tariff Calculator'!J20)</f>
        <v>0</v>
      </c>
      <c r="K10" s="377">
        <f>-('Tariff Calculator'!K17+'Tariff Calculator'!K20)</f>
        <v>0</v>
      </c>
      <c r="L10" s="377">
        <f>-('Tariff Calculator'!L17+'Tariff Calculator'!L20)</f>
        <v>0</v>
      </c>
      <c r="M10" s="377">
        <f>-('Tariff Calculator'!M17+'Tariff Calculator'!M20)</f>
        <v>0</v>
      </c>
      <c r="N10" s="377">
        <f>-('Tariff Calculator'!N17+'Tariff Calculator'!N20)</f>
        <v>0</v>
      </c>
      <c r="O10" s="377">
        <f>-('Tariff Calculator'!O17+'Tariff Calculator'!O20)</f>
        <v>0</v>
      </c>
      <c r="P10" s="377">
        <f>-('Tariff Calculator'!P17+'Tariff Calculator'!P20)</f>
        <v>0</v>
      </c>
      <c r="Q10" s="377">
        <f>-('Tariff Calculator'!Q17+'Tariff Calculator'!Q20)</f>
        <v>0</v>
      </c>
      <c r="R10" s="377">
        <f>-('Tariff Calculator'!R17+'Tariff Calculator'!R20)</f>
        <v>0</v>
      </c>
      <c r="S10" s="377">
        <f>-('Tariff Calculator'!S17+'Tariff Calculator'!S20)</f>
        <v>0</v>
      </c>
      <c r="T10" s="377">
        <f>-('Tariff Calculator'!T17+'Tariff Calculator'!T20)</f>
        <v>0</v>
      </c>
      <c r="U10" s="377">
        <f>-('Tariff Calculator'!U17+'Tariff Calculator'!U20)</f>
        <v>0</v>
      </c>
      <c r="V10" s="377">
        <f>-('Tariff Calculator'!V17+'Tariff Calculator'!V20)</f>
        <v>0</v>
      </c>
      <c r="W10" s="377">
        <f>-('Tariff Calculator'!W17+'Tariff Calculator'!W20)</f>
        <v>0</v>
      </c>
      <c r="X10" s="377">
        <f>-('Tariff Calculator'!X17+'Tariff Calculator'!X20)</f>
        <v>0</v>
      </c>
      <c r="Y10" s="377">
        <f>-('Tariff Calculator'!Y17+'Tariff Calculator'!Y20)</f>
        <v>0</v>
      </c>
      <c r="Z10" s="377">
        <f>-('Tariff Calculator'!Z17+'Tariff Calculator'!Z20)</f>
        <v>0</v>
      </c>
      <c r="AA10" s="377">
        <f>-('Tariff Calculator'!AA17+'Tariff Calculator'!AA20)</f>
        <v>0</v>
      </c>
      <c r="AB10" s="377">
        <f>-('Tariff Calculator'!AB17+'Tariff Calculator'!AB20)</f>
        <v>0</v>
      </c>
      <c r="AC10" s="377">
        <f>-('Tariff Calculator'!AC17+'Tariff Calculator'!AC20)</f>
        <v>0</v>
      </c>
      <c r="AD10" s="377">
        <f>-('Tariff Calculator'!AD17+'Tariff Calculator'!AD20)</f>
        <v>0</v>
      </c>
      <c r="AE10" s="377">
        <f>-('Tariff Calculator'!AE17+'Tariff Calculator'!AE20)</f>
        <v>0</v>
      </c>
      <c r="AF10" s="377">
        <f>-('Tariff Calculator'!AF17+'Tariff Calculator'!AF20)</f>
        <v>0</v>
      </c>
      <c r="AG10" s="377">
        <f>-('Tariff Calculator'!AG17+'Tariff Calculator'!AG20)</f>
        <v>0</v>
      </c>
      <c r="AH10" s="377">
        <f>-('Tariff Calculator'!AH17+'Tariff Calculator'!AH20)</f>
        <v>0</v>
      </c>
      <c r="AI10" s="377">
        <f>-('Tariff Calculator'!AI17+'Tariff Calculator'!AI20)</f>
        <v>0</v>
      </c>
      <c r="AJ10" s="377">
        <f>-('Tariff Calculator'!AJ17+'Tariff Calculator'!AJ20)</f>
        <v>0</v>
      </c>
      <c r="AK10" s="377">
        <f>-('Tariff Calculator'!AK17+'Tariff Calculator'!AK20)</f>
        <v>0</v>
      </c>
      <c r="AL10" s="377">
        <f>-('Tariff Calculator'!AL17+'Tariff Calculator'!AL20)</f>
        <v>0</v>
      </c>
      <c r="AM10" s="377">
        <f>-('Tariff Calculator'!AM17+'Tariff Calculator'!AM20)</f>
        <v>0</v>
      </c>
      <c r="AN10" s="377">
        <f>-('Tariff Calculator'!AN17+'Tariff Calculator'!AN20)</f>
        <v>0</v>
      </c>
      <c r="AO10" s="377">
        <f>-('Tariff Calculator'!AO17+'Tariff Calculator'!AO20)</f>
        <v>0</v>
      </c>
      <c r="AP10" s="377">
        <f>-('Tariff Calculator'!AP17+'Tariff Calculator'!AP20)</f>
        <v>0</v>
      </c>
      <c r="AQ10" s="377">
        <f>-('Tariff Calculator'!AQ17+'Tariff Calculator'!AQ20)</f>
        <v>0</v>
      </c>
      <c r="AR10" s="385">
        <f>-('Tariff Calculator'!AR17+'Tariff Calculator'!AR20)</f>
        <v>0</v>
      </c>
      <c r="AS10" s="175"/>
    </row>
    <row r="11" spans="2:45" x14ac:dyDescent="0.2">
      <c r="B11" s="175"/>
      <c r="C11" s="176" t="s">
        <v>311</v>
      </c>
      <c r="D11" s="54"/>
      <c r="E11" s="377">
        <f>-SUMIF('Tariff Inputs'!$G26:$G51,"Variable",'Tariff Inputs'!$D26:$D51)</f>
        <v>0</v>
      </c>
      <c r="F11" s="377">
        <f>IF(F5&lt;='Tariff Inputs'!$D17,E11*(1+'Tariff Inputs'!$D92*'Tariff Inputs'!$D53),0)</f>
        <v>0</v>
      </c>
      <c r="G11" s="377">
        <f>IF(G5&lt;='Tariff Inputs'!$D17,F11*(1+'Tariff Inputs'!$D92*'Tariff Inputs'!$D53),0)</f>
        <v>0</v>
      </c>
      <c r="H11" s="377">
        <f>IF(H5&lt;='Tariff Inputs'!$D17,G11*(1+'Tariff Inputs'!$D92*'Tariff Inputs'!$D53),0)</f>
        <v>0</v>
      </c>
      <c r="I11" s="377">
        <f>IF(I5&lt;='Tariff Inputs'!$D17,H11*(1+'Tariff Inputs'!$D92*'Tariff Inputs'!$D53),0)</f>
        <v>0</v>
      </c>
      <c r="J11" s="377">
        <f>IF(J5&lt;='Tariff Inputs'!$D17,I11*(1+'Tariff Inputs'!$D92*'Tariff Inputs'!$D53),0)</f>
        <v>0</v>
      </c>
      <c r="K11" s="377">
        <f>IF(K5&lt;='Tariff Inputs'!$D17,J11*(1+'Tariff Inputs'!$D92*'Tariff Inputs'!$D53),0)</f>
        <v>0</v>
      </c>
      <c r="L11" s="377">
        <f>IF(L5&lt;='Tariff Inputs'!$D17,K11*(1+'Tariff Inputs'!$D92*'Tariff Inputs'!$D53),0)</f>
        <v>0</v>
      </c>
      <c r="M11" s="377">
        <f>IF(M5&lt;='Tariff Inputs'!$D17,L11*(1+'Tariff Inputs'!$D92*'Tariff Inputs'!$D53),0)</f>
        <v>0</v>
      </c>
      <c r="N11" s="377">
        <f>IF(N5&lt;='Tariff Inputs'!$D17,M11*(1+'Tariff Inputs'!$D92*'Tariff Inputs'!$D53),0)</f>
        <v>0</v>
      </c>
      <c r="O11" s="377">
        <f>IF(O5&lt;='Tariff Inputs'!$D17,N11*(1+'Tariff Inputs'!$D92*'Tariff Inputs'!$D53),0)</f>
        <v>0</v>
      </c>
      <c r="P11" s="377">
        <f>IF(P5&lt;='Tariff Inputs'!$D17,O11*(1+'Tariff Inputs'!$D92*'Tariff Inputs'!$D53),0)</f>
        <v>0</v>
      </c>
      <c r="Q11" s="377">
        <f>IF(Q5&lt;='Tariff Inputs'!$D17,P11*(1+'Tariff Inputs'!$D92*'Tariff Inputs'!$D53),0)</f>
        <v>0</v>
      </c>
      <c r="R11" s="377">
        <f>IF(R5&lt;='Tariff Inputs'!$D17,Q11*(1+'Tariff Inputs'!$D92*'Tariff Inputs'!$D53),0)</f>
        <v>0</v>
      </c>
      <c r="S11" s="377">
        <f>IF(S5&lt;='Tariff Inputs'!$D17,R11*(1+'Tariff Inputs'!$D92*'Tariff Inputs'!$D53),0)</f>
        <v>0</v>
      </c>
      <c r="T11" s="377">
        <f>IF(T5&lt;='Tariff Inputs'!$D17,S11*(1+'Tariff Inputs'!$D92*'Tariff Inputs'!$D53),0)</f>
        <v>0</v>
      </c>
      <c r="U11" s="377">
        <f>IF(U5&lt;='Tariff Inputs'!$D17,T11*(1+'Tariff Inputs'!$D92*'Tariff Inputs'!$D53),0)</f>
        <v>0</v>
      </c>
      <c r="V11" s="377">
        <f>IF(V5&lt;='Tariff Inputs'!$D17,U11*(1+'Tariff Inputs'!$D92*'Tariff Inputs'!$D53),0)</f>
        <v>0</v>
      </c>
      <c r="W11" s="377">
        <f>IF(W5&lt;='Tariff Inputs'!$D17,V11*(1+'Tariff Inputs'!$D92*'Tariff Inputs'!$D53),0)</f>
        <v>0</v>
      </c>
      <c r="X11" s="377">
        <f>IF(X5&lt;='Tariff Inputs'!$D17,W11*(1+'Tariff Inputs'!$D92*'Tariff Inputs'!$D53),0)</f>
        <v>0</v>
      </c>
      <c r="Y11" s="377">
        <f>IF(Y5&lt;='Tariff Inputs'!$D17,X11*(1+'Tariff Inputs'!$D92*'Tariff Inputs'!$D53),0)</f>
        <v>0</v>
      </c>
      <c r="Z11" s="377">
        <f>IF(Z5&lt;='Tariff Inputs'!$D17,Y11*(1+'Tariff Inputs'!$D92*'Tariff Inputs'!$D53),0)</f>
        <v>0</v>
      </c>
      <c r="AA11" s="377">
        <f>IF(AA5&lt;='Tariff Inputs'!$D17,Z11*(1+'Tariff Inputs'!$D92*'Tariff Inputs'!$D53),0)</f>
        <v>0</v>
      </c>
      <c r="AB11" s="377">
        <f>IF(AB5&lt;='Tariff Inputs'!$D17,AA11*(1+'Tariff Inputs'!$D92*'Tariff Inputs'!$D53),0)</f>
        <v>0</v>
      </c>
      <c r="AC11" s="377">
        <f>IF(AC5&lt;='Tariff Inputs'!$D17,AB11*(1+'Tariff Inputs'!$D92*'Tariff Inputs'!$D53),0)</f>
        <v>0</v>
      </c>
      <c r="AD11" s="377">
        <f>IF(AD5&lt;='Tariff Inputs'!$D17,AC11*(1+'Tariff Inputs'!$D92*'Tariff Inputs'!$D53),0)</f>
        <v>0</v>
      </c>
      <c r="AE11" s="377">
        <f>IF(AE5&lt;='Tariff Inputs'!$D17,AD11*(1+'Tariff Inputs'!$D92*'Tariff Inputs'!$D53),0)</f>
        <v>0</v>
      </c>
      <c r="AF11" s="377">
        <f>IF(AF5&lt;='Tariff Inputs'!$D17,AE11*(1+'Tariff Inputs'!$D92*'Tariff Inputs'!$D53),0)</f>
        <v>0</v>
      </c>
      <c r="AG11" s="377">
        <f>IF(AG5&lt;='Tariff Inputs'!$D17,AF11*(1+'Tariff Inputs'!$D92*'Tariff Inputs'!$D53),0)</f>
        <v>0</v>
      </c>
      <c r="AH11" s="377">
        <f>IF(AH5&lt;='Tariff Inputs'!$D17,AG11*(1+'Tariff Inputs'!$D92*'Tariff Inputs'!$D53),0)</f>
        <v>0</v>
      </c>
      <c r="AI11" s="377">
        <f>IF(AI5&lt;='Tariff Inputs'!$D17,AH11*(1+'Tariff Inputs'!$D92*'Tariff Inputs'!$D53),0)</f>
        <v>0</v>
      </c>
      <c r="AJ11" s="377">
        <f>IF(AJ5&lt;='Tariff Inputs'!$D17,AI11*(1+'Tariff Inputs'!$D92*'Tariff Inputs'!$D53),0)</f>
        <v>0</v>
      </c>
      <c r="AK11" s="377">
        <f>IF(AK5&lt;='Tariff Inputs'!$D17,AJ11*(1+'Tariff Inputs'!$D92*'Tariff Inputs'!$D53),0)</f>
        <v>0</v>
      </c>
      <c r="AL11" s="377">
        <f>IF(AL5&lt;='Tariff Inputs'!$D17,AK11*(1+'Tariff Inputs'!$D92*'Tariff Inputs'!$D53),0)</f>
        <v>0</v>
      </c>
      <c r="AM11" s="377">
        <f>IF(AM5&lt;='Tariff Inputs'!$D17,AL11*(1+'Tariff Inputs'!$D92*'Tariff Inputs'!$D53),0)</f>
        <v>0</v>
      </c>
      <c r="AN11" s="377">
        <f>IF(AN5&lt;='Tariff Inputs'!$D17,AM11*(1+'Tariff Inputs'!$D92*'Tariff Inputs'!$D53),0)</f>
        <v>0</v>
      </c>
      <c r="AO11" s="377">
        <f>IF(AO5&lt;='Tariff Inputs'!$D17,AN11*(1+'Tariff Inputs'!$D92*'Tariff Inputs'!$D53),0)</f>
        <v>0</v>
      </c>
      <c r="AP11" s="377">
        <f>IF(AP5&lt;='Tariff Inputs'!$D17,AO11*(1+'Tariff Inputs'!$D92*'Tariff Inputs'!$D53),0)</f>
        <v>0</v>
      </c>
      <c r="AQ11" s="377">
        <f>IF(AQ5&lt;='Tariff Inputs'!$D17,AP11*(1+'Tariff Inputs'!$D92*'Tariff Inputs'!$D53),0)</f>
        <v>0</v>
      </c>
      <c r="AR11" s="407">
        <f>IF(AR5&lt;='Tariff Inputs'!$D17,AQ11*(1+'Tariff Inputs'!$D92*'Tariff Inputs'!$D53),0)</f>
        <v>0</v>
      </c>
      <c r="AS11" s="175"/>
    </row>
    <row r="12" spans="2:45" x14ac:dyDescent="0.2">
      <c r="B12" s="175"/>
      <c r="C12" s="427" t="s">
        <v>312</v>
      </c>
      <c r="D12" s="400"/>
      <c r="E12" s="400">
        <f>SUM(E8:E11)</f>
        <v>0</v>
      </c>
      <c r="F12" s="400">
        <f t="shared" ref="F12:AR12" si="1">SUM(F8:F11)</f>
        <v>0</v>
      </c>
      <c r="G12" s="400">
        <f t="shared" si="1"/>
        <v>0</v>
      </c>
      <c r="H12" s="400">
        <f t="shared" si="1"/>
        <v>0</v>
      </c>
      <c r="I12" s="400">
        <f t="shared" si="1"/>
        <v>0</v>
      </c>
      <c r="J12" s="400">
        <f t="shared" si="1"/>
        <v>0</v>
      </c>
      <c r="K12" s="400">
        <f t="shared" si="1"/>
        <v>0</v>
      </c>
      <c r="L12" s="400">
        <f t="shared" si="1"/>
        <v>0</v>
      </c>
      <c r="M12" s="400">
        <f t="shared" si="1"/>
        <v>0</v>
      </c>
      <c r="N12" s="400">
        <f t="shared" si="1"/>
        <v>0</v>
      </c>
      <c r="O12" s="400">
        <f t="shared" si="1"/>
        <v>0</v>
      </c>
      <c r="P12" s="400">
        <f t="shared" si="1"/>
        <v>0</v>
      </c>
      <c r="Q12" s="400">
        <f t="shared" si="1"/>
        <v>0</v>
      </c>
      <c r="R12" s="400">
        <f t="shared" si="1"/>
        <v>0</v>
      </c>
      <c r="S12" s="400">
        <f t="shared" si="1"/>
        <v>0</v>
      </c>
      <c r="T12" s="400">
        <f t="shared" si="1"/>
        <v>0</v>
      </c>
      <c r="U12" s="400">
        <f t="shared" si="1"/>
        <v>0</v>
      </c>
      <c r="V12" s="400">
        <f t="shared" si="1"/>
        <v>0</v>
      </c>
      <c r="W12" s="400">
        <f t="shared" si="1"/>
        <v>0</v>
      </c>
      <c r="X12" s="400">
        <f t="shared" si="1"/>
        <v>0</v>
      </c>
      <c r="Y12" s="400">
        <f t="shared" si="1"/>
        <v>0</v>
      </c>
      <c r="Z12" s="400">
        <f t="shared" si="1"/>
        <v>0</v>
      </c>
      <c r="AA12" s="400">
        <f t="shared" si="1"/>
        <v>0</v>
      </c>
      <c r="AB12" s="400">
        <f t="shared" si="1"/>
        <v>0</v>
      </c>
      <c r="AC12" s="400">
        <f t="shared" si="1"/>
        <v>0</v>
      </c>
      <c r="AD12" s="400">
        <f t="shared" si="1"/>
        <v>0</v>
      </c>
      <c r="AE12" s="400">
        <f t="shared" si="1"/>
        <v>0</v>
      </c>
      <c r="AF12" s="400">
        <f t="shared" si="1"/>
        <v>0</v>
      </c>
      <c r="AG12" s="400">
        <f t="shared" si="1"/>
        <v>0</v>
      </c>
      <c r="AH12" s="400">
        <f t="shared" si="1"/>
        <v>0</v>
      </c>
      <c r="AI12" s="400">
        <f t="shared" si="1"/>
        <v>0</v>
      </c>
      <c r="AJ12" s="400">
        <f t="shared" si="1"/>
        <v>0</v>
      </c>
      <c r="AK12" s="400">
        <f t="shared" si="1"/>
        <v>0</v>
      </c>
      <c r="AL12" s="400">
        <f t="shared" si="1"/>
        <v>0</v>
      </c>
      <c r="AM12" s="400">
        <f t="shared" si="1"/>
        <v>0</v>
      </c>
      <c r="AN12" s="400">
        <f t="shared" si="1"/>
        <v>0</v>
      </c>
      <c r="AO12" s="400">
        <f t="shared" si="1"/>
        <v>0</v>
      </c>
      <c r="AP12" s="400">
        <f t="shared" si="1"/>
        <v>0</v>
      </c>
      <c r="AQ12" s="400">
        <f t="shared" si="1"/>
        <v>0</v>
      </c>
      <c r="AR12" s="418">
        <f t="shared" si="1"/>
        <v>0</v>
      </c>
      <c r="AS12" s="175"/>
    </row>
    <row r="13" spans="2:45" x14ac:dyDescent="0.2">
      <c r="B13" s="175"/>
      <c r="C13" s="176" t="s">
        <v>313</v>
      </c>
      <c r="D13" s="54"/>
      <c r="E13" s="377">
        <f>-'Tariff Calculator'!E16-E11</f>
        <v>0</v>
      </c>
      <c r="F13" s="377">
        <f>-'Tariff Calculator'!F16-F11</f>
        <v>0</v>
      </c>
      <c r="G13" s="377">
        <f>-'Tariff Calculator'!G16-G11</f>
        <v>0</v>
      </c>
      <c r="H13" s="377">
        <f>-'Tariff Calculator'!H16-H11</f>
        <v>0</v>
      </c>
      <c r="I13" s="377">
        <f>-'Tariff Calculator'!I16-I11</f>
        <v>0</v>
      </c>
      <c r="J13" s="377">
        <f>-'Tariff Calculator'!J16-J11</f>
        <v>0</v>
      </c>
      <c r="K13" s="377">
        <f>-'Tariff Calculator'!K16-K11</f>
        <v>0</v>
      </c>
      <c r="L13" s="377">
        <f>-'Tariff Calculator'!L16-L11</f>
        <v>0</v>
      </c>
      <c r="M13" s="377">
        <f>-'Tariff Calculator'!M16-M11</f>
        <v>0</v>
      </c>
      <c r="N13" s="377">
        <f>-'Tariff Calculator'!N16-N11</f>
        <v>0</v>
      </c>
      <c r="O13" s="377">
        <f>-'Tariff Calculator'!O16-O11</f>
        <v>0</v>
      </c>
      <c r="P13" s="377">
        <f>-'Tariff Calculator'!P16-P11</f>
        <v>0</v>
      </c>
      <c r="Q13" s="377">
        <f>-'Tariff Calculator'!Q16-Q11</f>
        <v>0</v>
      </c>
      <c r="R13" s="377">
        <f>-'Tariff Calculator'!R16-R11</f>
        <v>0</v>
      </c>
      <c r="S13" s="377">
        <f>-'Tariff Calculator'!S16-S11</f>
        <v>0</v>
      </c>
      <c r="T13" s="377">
        <f>-'Tariff Calculator'!T16-T11</f>
        <v>0</v>
      </c>
      <c r="U13" s="377">
        <f>-'Tariff Calculator'!U16-U11</f>
        <v>0</v>
      </c>
      <c r="V13" s="377">
        <f>-'Tariff Calculator'!V16-V11</f>
        <v>0</v>
      </c>
      <c r="W13" s="377">
        <f>-'Tariff Calculator'!W16-W11</f>
        <v>0</v>
      </c>
      <c r="X13" s="377">
        <f>-'Tariff Calculator'!X16-X11</f>
        <v>0</v>
      </c>
      <c r="Y13" s="377">
        <f>-'Tariff Calculator'!Y16-Y11</f>
        <v>0</v>
      </c>
      <c r="Z13" s="377">
        <f>-'Tariff Calculator'!Z16-Z11</f>
        <v>0</v>
      </c>
      <c r="AA13" s="377">
        <f>-'Tariff Calculator'!AA16-AA11</f>
        <v>0</v>
      </c>
      <c r="AB13" s="377">
        <f>-'Tariff Calculator'!AB16-AB11</f>
        <v>0</v>
      </c>
      <c r="AC13" s="377">
        <f>-'Tariff Calculator'!AC16-AC11</f>
        <v>0</v>
      </c>
      <c r="AD13" s="377">
        <f>-'Tariff Calculator'!AD16-AD11</f>
        <v>0</v>
      </c>
      <c r="AE13" s="377">
        <f>-'Tariff Calculator'!AE16-AE11</f>
        <v>0</v>
      </c>
      <c r="AF13" s="377">
        <f>-'Tariff Calculator'!AF16-AF11</f>
        <v>0</v>
      </c>
      <c r="AG13" s="377">
        <f>-'Tariff Calculator'!AG16-AG11</f>
        <v>0</v>
      </c>
      <c r="AH13" s="377">
        <f>-'Tariff Calculator'!AH16-AH11</f>
        <v>0</v>
      </c>
      <c r="AI13" s="377">
        <f>-'Tariff Calculator'!AI16-AI11</f>
        <v>0</v>
      </c>
      <c r="AJ13" s="377">
        <f>-'Tariff Calculator'!AJ16-AJ11</f>
        <v>0</v>
      </c>
      <c r="AK13" s="377">
        <f>-'Tariff Calculator'!AK16-AK11</f>
        <v>0</v>
      </c>
      <c r="AL13" s="377">
        <f>-'Tariff Calculator'!AL16-AL11</f>
        <v>0</v>
      </c>
      <c r="AM13" s="377">
        <f>-'Tariff Calculator'!AM16-AM11</f>
        <v>0</v>
      </c>
      <c r="AN13" s="377">
        <f>-'Tariff Calculator'!AN16-AN11</f>
        <v>0</v>
      </c>
      <c r="AO13" s="377">
        <f>-'Tariff Calculator'!AO16-AO11</f>
        <v>0</v>
      </c>
      <c r="AP13" s="377">
        <f>-'Tariff Calculator'!AP16-AP11</f>
        <v>0</v>
      </c>
      <c r="AQ13" s="377">
        <f>-'Tariff Calculator'!AQ16-AQ11</f>
        <v>0</v>
      </c>
      <c r="AR13" s="385">
        <f>-'Tariff Calculator'!AR16-AR11</f>
        <v>0</v>
      </c>
      <c r="AS13" s="175"/>
    </row>
    <row r="14" spans="2:45" s="190" customFormat="1" x14ac:dyDescent="0.2">
      <c r="B14" s="54"/>
      <c r="C14" s="536" t="s">
        <v>283</v>
      </c>
      <c r="D14" s="108"/>
      <c r="E14" s="400">
        <f>SUM(E12:E13)</f>
        <v>0</v>
      </c>
      <c r="F14" s="400">
        <f t="shared" ref="F14:AR14" si="2">SUM(F12:F13)</f>
        <v>0</v>
      </c>
      <c r="G14" s="400">
        <f t="shared" si="2"/>
        <v>0</v>
      </c>
      <c r="H14" s="400">
        <f t="shared" si="2"/>
        <v>0</v>
      </c>
      <c r="I14" s="400">
        <f t="shared" si="2"/>
        <v>0</v>
      </c>
      <c r="J14" s="400">
        <f t="shared" si="2"/>
        <v>0</v>
      </c>
      <c r="K14" s="400">
        <f t="shared" si="2"/>
        <v>0</v>
      </c>
      <c r="L14" s="400">
        <f t="shared" si="2"/>
        <v>0</v>
      </c>
      <c r="M14" s="400">
        <f t="shared" si="2"/>
        <v>0</v>
      </c>
      <c r="N14" s="400">
        <f t="shared" si="2"/>
        <v>0</v>
      </c>
      <c r="O14" s="400">
        <f t="shared" si="2"/>
        <v>0</v>
      </c>
      <c r="P14" s="400">
        <f t="shared" si="2"/>
        <v>0</v>
      </c>
      <c r="Q14" s="400">
        <f t="shared" si="2"/>
        <v>0</v>
      </c>
      <c r="R14" s="400">
        <f t="shared" si="2"/>
        <v>0</v>
      </c>
      <c r="S14" s="400">
        <f t="shared" si="2"/>
        <v>0</v>
      </c>
      <c r="T14" s="400">
        <f t="shared" si="2"/>
        <v>0</v>
      </c>
      <c r="U14" s="400">
        <f t="shared" si="2"/>
        <v>0</v>
      </c>
      <c r="V14" s="400">
        <f t="shared" si="2"/>
        <v>0</v>
      </c>
      <c r="W14" s="400">
        <f t="shared" si="2"/>
        <v>0</v>
      </c>
      <c r="X14" s="400">
        <f t="shared" si="2"/>
        <v>0</v>
      </c>
      <c r="Y14" s="400">
        <f t="shared" si="2"/>
        <v>0</v>
      </c>
      <c r="Z14" s="400">
        <f t="shared" si="2"/>
        <v>0</v>
      </c>
      <c r="AA14" s="400">
        <f t="shared" si="2"/>
        <v>0</v>
      </c>
      <c r="AB14" s="400">
        <f t="shared" si="2"/>
        <v>0</v>
      </c>
      <c r="AC14" s="400">
        <f t="shared" si="2"/>
        <v>0</v>
      </c>
      <c r="AD14" s="400">
        <f t="shared" si="2"/>
        <v>0</v>
      </c>
      <c r="AE14" s="400">
        <f t="shared" si="2"/>
        <v>0</v>
      </c>
      <c r="AF14" s="400">
        <f t="shared" si="2"/>
        <v>0</v>
      </c>
      <c r="AG14" s="400">
        <f t="shared" si="2"/>
        <v>0</v>
      </c>
      <c r="AH14" s="400">
        <f t="shared" si="2"/>
        <v>0</v>
      </c>
      <c r="AI14" s="400">
        <f t="shared" si="2"/>
        <v>0</v>
      </c>
      <c r="AJ14" s="400">
        <f t="shared" si="2"/>
        <v>0</v>
      </c>
      <c r="AK14" s="400">
        <f t="shared" si="2"/>
        <v>0</v>
      </c>
      <c r="AL14" s="400">
        <f t="shared" si="2"/>
        <v>0</v>
      </c>
      <c r="AM14" s="400">
        <f t="shared" si="2"/>
        <v>0</v>
      </c>
      <c r="AN14" s="400">
        <f t="shared" si="2"/>
        <v>0</v>
      </c>
      <c r="AO14" s="400">
        <f t="shared" si="2"/>
        <v>0</v>
      </c>
      <c r="AP14" s="400">
        <f t="shared" si="2"/>
        <v>0</v>
      </c>
      <c r="AQ14" s="400">
        <f t="shared" si="2"/>
        <v>0</v>
      </c>
      <c r="AR14" s="418">
        <f t="shared" si="2"/>
        <v>0</v>
      </c>
      <c r="AS14" s="54"/>
    </row>
    <row r="15" spans="2:45" s="190" customFormat="1" x14ac:dyDescent="0.2">
      <c r="B15" s="54"/>
      <c r="C15" s="176" t="s">
        <v>29</v>
      </c>
      <c r="D15" s="54"/>
      <c r="E15" s="377">
        <f>-('Tariff Calculator'!E14+'Tariff Calculator'!E15)</f>
        <v>0</v>
      </c>
      <c r="F15" s="377">
        <f>-('Tariff Calculator'!F14+'Tariff Calculator'!F15)</f>
        <v>0</v>
      </c>
      <c r="G15" s="377">
        <f>-('Tariff Calculator'!G14+'Tariff Calculator'!G15)</f>
        <v>0</v>
      </c>
      <c r="H15" s="377">
        <f>-('Tariff Calculator'!H14+'Tariff Calculator'!H15)</f>
        <v>0</v>
      </c>
      <c r="I15" s="377">
        <f>-('Tariff Calculator'!I14+'Tariff Calculator'!I15)</f>
        <v>0</v>
      </c>
      <c r="J15" s="377">
        <f>-('Tariff Calculator'!J14+'Tariff Calculator'!J15)</f>
        <v>0</v>
      </c>
      <c r="K15" s="377">
        <f>-('Tariff Calculator'!K14+'Tariff Calculator'!K15)</f>
        <v>0</v>
      </c>
      <c r="L15" s="377">
        <f>-('Tariff Calculator'!L14+'Tariff Calculator'!L15)</f>
        <v>0</v>
      </c>
      <c r="M15" s="377">
        <f>-('Tariff Calculator'!M14+'Tariff Calculator'!M15)</f>
        <v>0</v>
      </c>
      <c r="N15" s="377">
        <f>-('Tariff Calculator'!N14+'Tariff Calculator'!N15)</f>
        <v>0</v>
      </c>
      <c r="O15" s="377">
        <f>-('Tariff Calculator'!O14+'Tariff Calculator'!O15)</f>
        <v>0</v>
      </c>
      <c r="P15" s="377">
        <f>-('Tariff Calculator'!P14+'Tariff Calculator'!P15)</f>
        <v>0</v>
      </c>
      <c r="Q15" s="377">
        <f>-('Tariff Calculator'!Q14+'Tariff Calculator'!Q15)</f>
        <v>0</v>
      </c>
      <c r="R15" s="377">
        <f>-('Tariff Calculator'!R14+'Tariff Calculator'!R15)</f>
        <v>0</v>
      </c>
      <c r="S15" s="377">
        <f>-('Tariff Calculator'!S14+'Tariff Calculator'!S15)</f>
        <v>0</v>
      </c>
      <c r="T15" s="377">
        <f>-('Tariff Calculator'!T14+'Tariff Calculator'!T15)</f>
        <v>0</v>
      </c>
      <c r="U15" s="377">
        <f>-('Tariff Calculator'!U14+'Tariff Calculator'!U15)</f>
        <v>0</v>
      </c>
      <c r="V15" s="377">
        <f>-('Tariff Calculator'!V14+'Tariff Calculator'!V15)</f>
        <v>0</v>
      </c>
      <c r="W15" s="377">
        <f>-('Tariff Calculator'!W14+'Tariff Calculator'!W15)</f>
        <v>0</v>
      </c>
      <c r="X15" s="377">
        <f>-('Tariff Calculator'!X14+'Tariff Calculator'!X15)</f>
        <v>0</v>
      </c>
      <c r="Y15" s="377">
        <f>-('Tariff Calculator'!Y14+'Tariff Calculator'!Y15)</f>
        <v>0</v>
      </c>
      <c r="Z15" s="377">
        <f>-('Tariff Calculator'!Z14+'Tariff Calculator'!Z15)</f>
        <v>0</v>
      </c>
      <c r="AA15" s="377">
        <f>-('Tariff Calculator'!AA14+'Tariff Calculator'!AA15)</f>
        <v>0</v>
      </c>
      <c r="AB15" s="377">
        <f>-('Tariff Calculator'!AB14+'Tariff Calculator'!AB15)</f>
        <v>0</v>
      </c>
      <c r="AC15" s="377">
        <f>-('Tariff Calculator'!AC14+'Tariff Calculator'!AC15)</f>
        <v>0</v>
      </c>
      <c r="AD15" s="377">
        <f>-('Tariff Calculator'!AD14+'Tariff Calculator'!AD15)</f>
        <v>0</v>
      </c>
      <c r="AE15" s="377">
        <f>-('Tariff Calculator'!AE14+'Tariff Calculator'!AE15)</f>
        <v>0</v>
      </c>
      <c r="AF15" s="377">
        <f>-('Tariff Calculator'!AF14+'Tariff Calculator'!AF15)</f>
        <v>0</v>
      </c>
      <c r="AG15" s="377">
        <f>-('Tariff Calculator'!AG14+'Tariff Calculator'!AG15)</f>
        <v>0</v>
      </c>
      <c r="AH15" s="377">
        <f>-('Tariff Calculator'!AH14+'Tariff Calculator'!AH15)</f>
        <v>0</v>
      </c>
      <c r="AI15" s="377">
        <f>-('Tariff Calculator'!AI14+'Tariff Calculator'!AI15)</f>
        <v>0</v>
      </c>
      <c r="AJ15" s="377">
        <f>-('Tariff Calculator'!AJ14+'Tariff Calculator'!AJ15)</f>
        <v>0</v>
      </c>
      <c r="AK15" s="377">
        <f>-('Tariff Calculator'!AK14+'Tariff Calculator'!AK15)</f>
        <v>0</v>
      </c>
      <c r="AL15" s="377">
        <f>-('Tariff Calculator'!AL14+'Tariff Calculator'!AL15)</f>
        <v>0</v>
      </c>
      <c r="AM15" s="377">
        <f>-('Tariff Calculator'!AM14+'Tariff Calculator'!AM15)</f>
        <v>0</v>
      </c>
      <c r="AN15" s="377">
        <f>-('Tariff Calculator'!AN14+'Tariff Calculator'!AN15)</f>
        <v>0</v>
      </c>
      <c r="AO15" s="377">
        <f>-('Tariff Calculator'!AO14+'Tariff Calculator'!AO15)</f>
        <v>0</v>
      </c>
      <c r="AP15" s="377">
        <f>-('Tariff Calculator'!AP14+'Tariff Calculator'!AP15)</f>
        <v>0</v>
      </c>
      <c r="AQ15" s="377">
        <f>-('Tariff Calculator'!AQ14+'Tariff Calculator'!AQ15)</f>
        <v>0</v>
      </c>
      <c r="AR15" s="385">
        <f>-('Tariff Calculator'!AR14+'Tariff Calculator'!AR15)</f>
        <v>0</v>
      </c>
      <c r="AS15" s="54"/>
    </row>
    <row r="16" spans="2:45" s="190" customFormat="1" x14ac:dyDescent="0.2">
      <c r="B16" s="54"/>
      <c r="C16" s="536" t="s">
        <v>280</v>
      </c>
      <c r="D16" s="108"/>
      <c r="E16" s="400">
        <f>SUM(E14:E15)</f>
        <v>0</v>
      </c>
      <c r="F16" s="400">
        <f t="shared" ref="F16:AR16" si="3">SUM(F14:F15)</f>
        <v>0</v>
      </c>
      <c r="G16" s="400">
        <f t="shared" si="3"/>
        <v>0</v>
      </c>
      <c r="H16" s="400">
        <f t="shared" si="3"/>
        <v>0</v>
      </c>
      <c r="I16" s="400">
        <f t="shared" si="3"/>
        <v>0</v>
      </c>
      <c r="J16" s="400">
        <f t="shared" si="3"/>
        <v>0</v>
      </c>
      <c r="K16" s="400">
        <f t="shared" si="3"/>
        <v>0</v>
      </c>
      <c r="L16" s="400">
        <f t="shared" si="3"/>
        <v>0</v>
      </c>
      <c r="M16" s="400">
        <f t="shared" si="3"/>
        <v>0</v>
      </c>
      <c r="N16" s="400">
        <f t="shared" si="3"/>
        <v>0</v>
      </c>
      <c r="O16" s="400">
        <f t="shared" si="3"/>
        <v>0</v>
      </c>
      <c r="P16" s="400">
        <f t="shared" si="3"/>
        <v>0</v>
      </c>
      <c r="Q16" s="400">
        <f t="shared" si="3"/>
        <v>0</v>
      </c>
      <c r="R16" s="400">
        <f t="shared" si="3"/>
        <v>0</v>
      </c>
      <c r="S16" s="400">
        <f t="shared" si="3"/>
        <v>0</v>
      </c>
      <c r="T16" s="400">
        <f t="shared" si="3"/>
        <v>0</v>
      </c>
      <c r="U16" s="400">
        <f t="shared" si="3"/>
        <v>0</v>
      </c>
      <c r="V16" s="400">
        <f t="shared" si="3"/>
        <v>0</v>
      </c>
      <c r="W16" s="400">
        <f t="shared" si="3"/>
        <v>0</v>
      </c>
      <c r="X16" s="400">
        <f t="shared" si="3"/>
        <v>0</v>
      </c>
      <c r="Y16" s="400">
        <f t="shared" si="3"/>
        <v>0</v>
      </c>
      <c r="Z16" s="400">
        <f t="shared" si="3"/>
        <v>0</v>
      </c>
      <c r="AA16" s="400">
        <f t="shared" si="3"/>
        <v>0</v>
      </c>
      <c r="AB16" s="400">
        <f t="shared" si="3"/>
        <v>0</v>
      </c>
      <c r="AC16" s="400">
        <f t="shared" si="3"/>
        <v>0</v>
      </c>
      <c r="AD16" s="400">
        <f t="shared" si="3"/>
        <v>0</v>
      </c>
      <c r="AE16" s="400">
        <f t="shared" si="3"/>
        <v>0</v>
      </c>
      <c r="AF16" s="400">
        <f t="shared" si="3"/>
        <v>0</v>
      </c>
      <c r="AG16" s="400">
        <f t="shared" si="3"/>
        <v>0</v>
      </c>
      <c r="AH16" s="400">
        <f t="shared" si="3"/>
        <v>0</v>
      </c>
      <c r="AI16" s="400">
        <f t="shared" si="3"/>
        <v>0</v>
      </c>
      <c r="AJ16" s="400">
        <f t="shared" si="3"/>
        <v>0</v>
      </c>
      <c r="AK16" s="400">
        <f t="shared" si="3"/>
        <v>0</v>
      </c>
      <c r="AL16" s="400">
        <f t="shared" si="3"/>
        <v>0</v>
      </c>
      <c r="AM16" s="400">
        <f t="shared" si="3"/>
        <v>0</v>
      </c>
      <c r="AN16" s="400">
        <f t="shared" si="3"/>
        <v>0</v>
      </c>
      <c r="AO16" s="400">
        <f t="shared" si="3"/>
        <v>0</v>
      </c>
      <c r="AP16" s="400">
        <f t="shared" si="3"/>
        <v>0</v>
      </c>
      <c r="AQ16" s="400">
        <f t="shared" si="3"/>
        <v>0</v>
      </c>
      <c r="AR16" s="418">
        <f t="shared" si="3"/>
        <v>0</v>
      </c>
      <c r="AS16" s="54"/>
    </row>
    <row r="17" spans="2:46" s="190" customFormat="1" x14ac:dyDescent="0.2">
      <c r="B17" s="54"/>
      <c r="C17" s="176" t="s">
        <v>57</v>
      </c>
      <c r="D17" s="54"/>
      <c r="E17" s="377">
        <f>'Loan Repayment'!E19</f>
        <v>0</v>
      </c>
      <c r="F17" s="377">
        <f>'Loan Repayment'!F19</f>
        <v>0</v>
      </c>
      <c r="G17" s="377">
        <f>'Loan Repayment'!G19</f>
        <v>0</v>
      </c>
      <c r="H17" s="377">
        <f>'Loan Repayment'!H19</f>
        <v>0</v>
      </c>
      <c r="I17" s="377">
        <f>'Loan Repayment'!I19</f>
        <v>0</v>
      </c>
      <c r="J17" s="377">
        <f>'Loan Repayment'!J19</f>
        <v>0</v>
      </c>
      <c r="K17" s="377">
        <f>'Loan Repayment'!K19</f>
        <v>0</v>
      </c>
      <c r="L17" s="377">
        <f>'Loan Repayment'!L19</f>
        <v>0</v>
      </c>
      <c r="M17" s="377">
        <f>'Loan Repayment'!M19</f>
        <v>0</v>
      </c>
      <c r="N17" s="377">
        <f>'Loan Repayment'!N19</f>
        <v>0</v>
      </c>
      <c r="O17" s="377">
        <f>'Loan Repayment'!O19</f>
        <v>0</v>
      </c>
      <c r="P17" s="377">
        <f>'Loan Repayment'!P19</f>
        <v>0</v>
      </c>
      <c r="Q17" s="377">
        <f>'Loan Repayment'!Q19</f>
        <v>0</v>
      </c>
      <c r="R17" s="377">
        <f>'Loan Repayment'!R19</f>
        <v>0</v>
      </c>
      <c r="S17" s="377">
        <f>'Loan Repayment'!S19</f>
        <v>0</v>
      </c>
      <c r="T17" s="377">
        <f>'Loan Repayment'!T19</f>
        <v>0</v>
      </c>
      <c r="U17" s="377">
        <f>'Loan Repayment'!U19</f>
        <v>0</v>
      </c>
      <c r="V17" s="377">
        <f>'Loan Repayment'!V19</f>
        <v>0</v>
      </c>
      <c r="W17" s="377">
        <f>'Loan Repayment'!W19</f>
        <v>0</v>
      </c>
      <c r="X17" s="377">
        <f>'Loan Repayment'!X19</f>
        <v>0</v>
      </c>
      <c r="Y17" s="377">
        <f>'Loan Repayment'!Y19</f>
        <v>0</v>
      </c>
      <c r="Z17" s="377">
        <f>'Loan Repayment'!Z19</f>
        <v>0</v>
      </c>
      <c r="AA17" s="377">
        <f>'Loan Repayment'!AA19</f>
        <v>0</v>
      </c>
      <c r="AB17" s="377">
        <f>'Loan Repayment'!AB19</f>
        <v>0</v>
      </c>
      <c r="AC17" s="377">
        <f>'Loan Repayment'!AC19</f>
        <v>0</v>
      </c>
      <c r="AD17" s="377">
        <f>'Loan Repayment'!AD19</f>
        <v>0</v>
      </c>
      <c r="AE17" s="377">
        <f>'Loan Repayment'!AE19</f>
        <v>0</v>
      </c>
      <c r="AF17" s="377">
        <f>'Loan Repayment'!AF19</f>
        <v>0</v>
      </c>
      <c r="AG17" s="377">
        <f>'Loan Repayment'!AG19</f>
        <v>0</v>
      </c>
      <c r="AH17" s="377">
        <f>'Loan Repayment'!AH19</f>
        <v>0</v>
      </c>
      <c r="AI17" s="377">
        <f>'Loan Repayment'!AI19</f>
        <v>0</v>
      </c>
      <c r="AJ17" s="377">
        <f>'Loan Repayment'!AJ19</f>
        <v>0</v>
      </c>
      <c r="AK17" s="377">
        <f>'Loan Repayment'!AK19</f>
        <v>0</v>
      </c>
      <c r="AL17" s="377">
        <f>'Loan Repayment'!AL19</f>
        <v>0</v>
      </c>
      <c r="AM17" s="377">
        <f>'Loan Repayment'!AM19</f>
        <v>0</v>
      </c>
      <c r="AN17" s="377">
        <f>'Loan Repayment'!AN19</f>
        <v>0</v>
      </c>
      <c r="AO17" s="377">
        <f>'Loan Repayment'!AO19</f>
        <v>0</v>
      </c>
      <c r="AP17" s="377">
        <f>'Loan Repayment'!AP19</f>
        <v>0</v>
      </c>
      <c r="AQ17" s="377">
        <f>'Loan Repayment'!AQ19</f>
        <v>0</v>
      </c>
      <c r="AR17" s="385">
        <f>'Loan Repayment'!AR19</f>
        <v>0</v>
      </c>
      <c r="AS17" s="54"/>
    </row>
    <row r="18" spans="2:46" x14ac:dyDescent="0.2">
      <c r="B18" s="175"/>
      <c r="C18" s="536" t="s">
        <v>281</v>
      </c>
      <c r="D18" s="108"/>
      <c r="E18" s="400">
        <f>SUM(E16:E17)</f>
        <v>0</v>
      </c>
      <c r="F18" s="400">
        <f t="shared" ref="F18:AR18" si="4">SUM(F16:F17)</f>
        <v>0</v>
      </c>
      <c r="G18" s="400">
        <f t="shared" si="4"/>
        <v>0</v>
      </c>
      <c r="H18" s="400">
        <f t="shared" si="4"/>
        <v>0</v>
      </c>
      <c r="I18" s="400">
        <f t="shared" si="4"/>
        <v>0</v>
      </c>
      <c r="J18" s="400">
        <f t="shared" si="4"/>
        <v>0</v>
      </c>
      <c r="K18" s="400">
        <f t="shared" si="4"/>
        <v>0</v>
      </c>
      <c r="L18" s="400">
        <f t="shared" si="4"/>
        <v>0</v>
      </c>
      <c r="M18" s="400">
        <f t="shared" si="4"/>
        <v>0</v>
      </c>
      <c r="N18" s="400">
        <f t="shared" si="4"/>
        <v>0</v>
      </c>
      <c r="O18" s="400">
        <f t="shared" si="4"/>
        <v>0</v>
      </c>
      <c r="P18" s="400">
        <f t="shared" si="4"/>
        <v>0</v>
      </c>
      <c r="Q18" s="400">
        <f t="shared" si="4"/>
        <v>0</v>
      </c>
      <c r="R18" s="400">
        <f t="shared" si="4"/>
        <v>0</v>
      </c>
      <c r="S18" s="400">
        <f t="shared" si="4"/>
        <v>0</v>
      </c>
      <c r="T18" s="400">
        <f t="shared" si="4"/>
        <v>0</v>
      </c>
      <c r="U18" s="400">
        <f t="shared" si="4"/>
        <v>0</v>
      </c>
      <c r="V18" s="400">
        <f t="shared" si="4"/>
        <v>0</v>
      </c>
      <c r="W18" s="400">
        <f t="shared" si="4"/>
        <v>0</v>
      </c>
      <c r="X18" s="400">
        <f t="shared" si="4"/>
        <v>0</v>
      </c>
      <c r="Y18" s="400">
        <f t="shared" si="4"/>
        <v>0</v>
      </c>
      <c r="Z18" s="400">
        <f t="shared" si="4"/>
        <v>0</v>
      </c>
      <c r="AA18" s="400">
        <f t="shared" si="4"/>
        <v>0</v>
      </c>
      <c r="AB18" s="400">
        <f t="shared" si="4"/>
        <v>0</v>
      </c>
      <c r="AC18" s="400">
        <f t="shared" si="4"/>
        <v>0</v>
      </c>
      <c r="AD18" s="400">
        <f t="shared" si="4"/>
        <v>0</v>
      </c>
      <c r="AE18" s="400">
        <f t="shared" si="4"/>
        <v>0</v>
      </c>
      <c r="AF18" s="400">
        <f t="shared" si="4"/>
        <v>0</v>
      </c>
      <c r="AG18" s="400">
        <f t="shared" si="4"/>
        <v>0</v>
      </c>
      <c r="AH18" s="400">
        <f t="shared" si="4"/>
        <v>0</v>
      </c>
      <c r="AI18" s="400">
        <f t="shared" si="4"/>
        <v>0</v>
      </c>
      <c r="AJ18" s="400">
        <f t="shared" si="4"/>
        <v>0</v>
      </c>
      <c r="AK18" s="400">
        <f t="shared" si="4"/>
        <v>0</v>
      </c>
      <c r="AL18" s="400">
        <f t="shared" si="4"/>
        <v>0</v>
      </c>
      <c r="AM18" s="400">
        <f t="shared" si="4"/>
        <v>0</v>
      </c>
      <c r="AN18" s="400">
        <f t="shared" si="4"/>
        <v>0</v>
      </c>
      <c r="AO18" s="400">
        <f t="shared" si="4"/>
        <v>0</v>
      </c>
      <c r="AP18" s="400">
        <f t="shared" si="4"/>
        <v>0</v>
      </c>
      <c r="AQ18" s="400">
        <f t="shared" si="4"/>
        <v>0</v>
      </c>
      <c r="AR18" s="418">
        <f t="shared" si="4"/>
        <v>0</v>
      </c>
      <c r="AS18" s="175"/>
    </row>
    <row r="19" spans="2:46" s="190" customFormat="1" x14ac:dyDescent="0.2">
      <c r="B19" s="54"/>
      <c r="C19" s="176" t="s">
        <v>592</v>
      </c>
      <c r="D19" s="54"/>
      <c r="E19" s="377">
        <f>IF(E5&lt;='Tariff Inputs'!$D17,-IF(SUM($E$18:E18)&gt;0,SUM($E$18:E18)*'Tariff Inputs'!$G84,0),0)</f>
        <v>0</v>
      </c>
      <c r="F19" s="377">
        <f>IF(F5&lt;='Tariff Inputs'!$D17,-IF(SUM($E$18:F18)&gt;0,(SUM($E$18:F18)*'Tariff Inputs'!$G84+SUM($E$19:E19)),0),0)</f>
        <v>0</v>
      </c>
      <c r="G19" s="377">
        <f>IF(G5&lt;='Tariff Inputs'!$D17,-IF(SUM($E$18:G18)&gt;0,(SUM($E$18:G18)*'Tariff Inputs'!$G84+SUM($E$19:F19)),0),0)</f>
        <v>0</v>
      </c>
      <c r="H19" s="377">
        <f>IF(H5&lt;='Tariff Inputs'!$D17,-IF(SUM($E$18:H18)&gt;0,(SUM($E$18:H18)*'Tariff Inputs'!$G84+SUM($E$19:G19)),0),0)</f>
        <v>0</v>
      </c>
      <c r="I19" s="377">
        <f>IF(I5&lt;='Tariff Inputs'!$D17,-IF(SUM($E$18:I18)&gt;0,(SUM($E$18:I18)*'Tariff Inputs'!$G84+SUM($E$19:H19)),0),0)</f>
        <v>0</v>
      </c>
      <c r="J19" s="377">
        <f>IF(J5&lt;='Tariff Inputs'!$D17,-IF(SUM($E$18:J18)&gt;0,(SUM($E$18:J18)*'Tariff Inputs'!$G84+SUM($E$19:I19)),0),0)</f>
        <v>0</v>
      </c>
      <c r="K19" s="377">
        <f>IF(K5&lt;='Tariff Inputs'!$D17,-IF(SUM($E$18:K18)&gt;0,(SUM($E$18:K18)*'Tariff Inputs'!$G84+SUM($E$19:J19)),0),0)</f>
        <v>0</v>
      </c>
      <c r="L19" s="377">
        <f>IF(L5&lt;='Tariff Inputs'!$D17,-IF(SUM($E$18:L18)&gt;0,(SUM($E$18:L18)*'Tariff Inputs'!$G84+SUM($E$19:K19)),0),0)</f>
        <v>0</v>
      </c>
      <c r="M19" s="377">
        <f>IF(M5&lt;='Tariff Inputs'!$D17,-IF(SUM($E$18:M18)&gt;0,(SUM($E$18:M18)*'Tariff Inputs'!$G84+SUM($E$19:L19)),0),0)</f>
        <v>0</v>
      </c>
      <c r="N19" s="377">
        <f>IF(N5&lt;='Tariff Inputs'!$D17,-IF(SUM($E$18:N18)&gt;0,(SUM($E$18:N18)*'Tariff Inputs'!$G84+SUM($E$19:M19)),0),0)</f>
        <v>0</v>
      </c>
      <c r="O19" s="377">
        <f>IF(O5&lt;='Tariff Inputs'!$D17,-IF(SUM($E$18:O18)&gt;0,(SUM($E$18:O18)*'Tariff Inputs'!$G84+SUM($E$19:N19)),0),0)</f>
        <v>0</v>
      </c>
      <c r="P19" s="377">
        <f>IF(P5&lt;='Tariff Inputs'!$D17,-IF(SUM($E$18:P18)&gt;0,(SUM($E$18:P18)*'Tariff Inputs'!$G84+SUM($E$19:O19)),0),0)</f>
        <v>0</v>
      </c>
      <c r="Q19" s="377">
        <f>IF(Q5&lt;='Tariff Inputs'!$D17,-IF(SUM($E$18:Q18)&gt;0,(SUM($E$18:Q18)*'Tariff Inputs'!$G84+SUM($E$19:P19)),0),0)</f>
        <v>0</v>
      </c>
      <c r="R19" s="377">
        <f>IF(R5&lt;='Tariff Inputs'!$D17,-IF(SUM($E$18:R18)&gt;0,(SUM($E$18:R18)*'Tariff Inputs'!$G84+SUM($E$19:Q19)),0),0)</f>
        <v>0</v>
      </c>
      <c r="S19" s="377">
        <f>IF(S5&lt;='Tariff Inputs'!$D17,-IF(SUM($E$18:S18)&gt;0,(SUM($E$18:S18)*'Tariff Inputs'!$G84+SUM($E$19:R19)),0),0)</f>
        <v>0</v>
      </c>
      <c r="T19" s="377">
        <f>IF(T5&lt;='Tariff Inputs'!$D17,-IF(SUM($E$18:T18)&gt;0,(SUM($E$18:T18)*'Tariff Inputs'!$G84+SUM($E$19:S19)),0),0)</f>
        <v>0</v>
      </c>
      <c r="U19" s="377">
        <f>IF(U5&lt;='Tariff Inputs'!$D17,-IF(SUM($E$18:U18)&gt;0,(SUM($E$18:U18)*'Tariff Inputs'!$G84+SUM($E$19:T19)),0),0)</f>
        <v>0</v>
      </c>
      <c r="V19" s="377">
        <f>IF(V5&lt;='Tariff Inputs'!$D17,-IF(SUM($E$18:V18)&gt;0,(SUM($E$18:V18)*'Tariff Inputs'!$G84+SUM($E$19:U19)),0),0)</f>
        <v>0</v>
      </c>
      <c r="W19" s="377">
        <f>IF(W5&lt;='Tariff Inputs'!$D17,-IF(SUM($E$18:W18)&gt;0,(SUM($E$18:W18)*'Tariff Inputs'!$G84+SUM($E$19:V19)),0),0)</f>
        <v>0</v>
      </c>
      <c r="X19" s="377">
        <f>IF(X5&lt;='Tariff Inputs'!$D17,-IF(SUM($E$18:X18)&gt;0,(SUM($E$18:X18)*'Tariff Inputs'!$G84+SUM($E$19:W19)),0),0)</f>
        <v>0</v>
      </c>
      <c r="Y19" s="377">
        <f>IF(Y5&lt;='Tariff Inputs'!$D17,-IF(SUM($E$18:Y18)&gt;0,(SUM($E$18:Y18)*'Tariff Inputs'!$G84+SUM($E$19:X19)),0),0)</f>
        <v>0</v>
      </c>
      <c r="Z19" s="377">
        <f>IF(Z5&lt;='Tariff Inputs'!$D17,-IF(SUM($E$18:Z18)&gt;0,(SUM($E$18:Z18)*'Tariff Inputs'!$G84+SUM($E$19:Y19)),0),0)</f>
        <v>0</v>
      </c>
      <c r="AA19" s="377">
        <f>IF(AA5&lt;='Tariff Inputs'!$D17,-IF(SUM($E$18:AA18)&gt;0,(SUM($E$18:AA18)*'Tariff Inputs'!$G84+SUM($E$19:Z19)),0),0)</f>
        <v>0</v>
      </c>
      <c r="AB19" s="377">
        <f>IF(AB5&lt;='Tariff Inputs'!$D17,-IF(SUM($E$18:AB18)&gt;0,(SUM($E$18:AB18)*'Tariff Inputs'!$G84+SUM($E$19:AA19)),0),0)</f>
        <v>0</v>
      </c>
      <c r="AC19" s="377">
        <f>IF(AC5&lt;='Tariff Inputs'!$D17,-IF(SUM($E$18:AC18)&gt;0,(SUM($E$18:AC18)*'Tariff Inputs'!$G84+SUM($E$19:AB19)),0),0)</f>
        <v>0</v>
      </c>
      <c r="AD19" s="377">
        <f>IF(AD5&lt;='Tariff Inputs'!$D17,-IF(SUM($E$18:AD18)&gt;0,(SUM($E$18:AD18)*'Tariff Inputs'!$G84+SUM($E$19:AC19)),0),0)</f>
        <v>0</v>
      </c>
      <c r="AE19" s="377">
        <f>IF(AE5&lt;='Tariff Inputs'!$D17,-IF(SUM($E$18:AE18)&gt;0,(SUM($E$18:AE18)*'Tariff Inputs'!$G84+SUM($E$19:AD19)),0),0)</f>
        <v>0</v>
      </c>
      <c r="AF19" s="377">
        <f>IF(AF5&lt;='Tariff Inputs'!$D17,-IF(SUM($E$18:AF18)&gt;0,(SUM($E$18:AF18)*'Tariff Inputs'!$G84+SUM($E$19:AE19)),0),0)</f>
        <v>0</v>
      </c>
      <c r="AG19" s="377">
        <f>IF(AG5&lt;='Tariff Inputs'!$D17,-IF(SUM($E$18:AG18)&gt;0,(SUM($E$18:AG18)*'Tariff Inputs'!$G84+SUM($E$19:AF19)),0),0)</f>
        <v>0</v>
      </c>
      <c r="AH19" s="377">
        <f>IF(AH5&lt;='Tariff Inputs'!$D17,-IF(SUM($E$18:AH18)&gt;0,(SUM($E$18:AH18)*'Tariff Inputs'!$G84+SUM($E$19:AG19)),0),0)</f>
        <v>0</v>
      </c>
      <c r="AI19" s="377">
        <f>IF(AI5&lt;='Tariff Inputs'!$D17,-IF(SUM($E$18:AI18)&gt;0,(SUM($E$18:AI18)*'Tariff Inputs'!$G84+SUM($E$19:AH19)),0),0)</f>
        <v>0</v>
      </c>
      <c r="AJ19" s="377">
        <f>IF(AJ5&lt;='Tariff Inputs'!$D17,-IF(SUM($E$18:AJ18)&gt;0,(SUM($E$18:AJ18)*'Tariff Inputs'!$G84+SUM($E$19:AI19)),0),0)</f>
        <v>0</v>
      </c>
      <c r="AK19" s="377">
        <f>IF(AK5&lt;='Tariff Inputs'!$D17,-IF(SUM($E$18:AK18)&gt;0,(SUM($E$18:AK18)*'Tariff Inputs'!$G84+SUM($E$19:AJ19)),0),0)</f>
        <v>0</v>
      </c>
      <c r="AL19" s="377">
        <f>IF(AL5&lt;='Tariff Inputs'!$D17,-IF(SUM($E$18:AL18)&gt;0,(SUM($E$18:AL18)*'Tariff Inputs'!$G84+SUM($E$19:AK19)),0),0)</f>
        <v>0</v>
      </c>
      <c r="AM19" s="377">
        <f>IF(AM5&lt;='Tariff Inputs'!$D17,-IF(SUM($E$18:AM18)&gt;0,(SUM($E$18:AM18)*'Tariff Inputs'!$G84+SUM($E$19:AL19)),0),0)</f>
        <v>0</v>
      </c>
      <c r="AN19" s="377">
        <f>IF(AN5&lt;='Tariff Inputs'!$D17,-IF(SUM($E$18:AN18)&gt;0,(SUM($E$18:AN18)*'Tariff Inputs'!$G84+SUM($E$19:AM19)),0),0)</f>
        <v>0</v>
      </c>
      <c r="AO19" s="377">
        <f>IF(AO5&lt;='Tariff Inputs'!$D17,-IF(SUM($E$18:AO18)&gt;0,(SUM($E$18:AO18)*'Tariff Inputs'!$G84+SUM($E$19:AN19)),0),0)</f>
        <v>0</v>
      </c>
      <c r="AP19" s="377">
        <f>IF(AP5&lt;='Tariff Inputs'!$D17,-IF(SUM($E$18:AP18)&gt;0,(SUM($E$18:AP18)*'Tariff Inputs'!$G84+SUM($E$19:AO19)),0),0)</f>
        <v>0</v>
      </c>
      <c r="AQ19" s="377">
        <f>IF(AQ5&lt;='Tariff Inputs'!$D17,-IF(SUM($E$18:AQ18)&gt;0,(SUM($E$18:AQ18)*'Tariff Inputs'!$G84+SUM($E$19:AP19)),0),0)</f>
        <v>0</v>
      </c>
      <c r="AR19" s="385">
        <f>IF(AR5&lt;='Tariff Inputs'!$D17,-IF(SUM($E$18:AR18)&gt;0,(SUM($E$18:AR18)*'Tariff Inputs'!$G84+SUM($E$19:AQ19)),0),0)</f>
        <v>0</v>
      </c>
      <c r="AS19" s="54"/>
    </row>
    <row r="20" spans="2:46" x14ac:dyDescent="0.2">
      <c r="B20" s="175"/>
      <c r="C20" s="536" t="s">
        <v>282</v>
      </c>
      <c r="D20" s="108"/>
      <c r="E20" s="400">
        <f>SUM(E18:E19)</f>
        <v>0</v>
      </c>
      <c r="F20" s="400">
        <f t="shared" ref="F20:AR20" si="5">SUM(F18:F19)</f>
        <v>0</v>
      </c>
      <c r="G20" s="400">
        <f t="shared" si="5"/>
        <v>0</v>
      </c>
      <c r="H20" s="400">
        <f t="shared" si="5"/>
        <v>0</v>
      </c>
      <c r="I20" s="400">
        <f t="shared" si="5"/>
        <v>0</v>
      </c>
      <c r="J20" s="400">
        <f t="shared" si="5"/>
        <v>0</v>
      </c>
      <c r="K20" s="400">
        <f t="shared" si="5"/>
        <v>0</v>
      </c>
      <c r="L20" s="400">
        <f t="shared" si="5"/>
        <v>0</v>
      </c>
      <c r="M20" s="400">
        <f t="shared" si="5"/>
        <v>0</v>
      </c>
      <c r="N20" s="400">
        <f t="shared" si="5"/>
        <v>0</v>
      </c>
      <c r="O20" s="400">
        <f t="shared" si="5"/>
        <v>0</v>
      </c>
      <c r="P20" s="400">
        <f t="shared" si="5"/>
        <v>0</v>
      </c>
      <c r="Q20" s="400">
        <f t="shared" si="5"/>
        <v>0</v>
      </c>
      <c r="R20" s="400">
        <f t="shared" si="5"/>
        <v>0</v>
      </c>
      <c r="S20" s="400">
        <f t="shared" si="5"/>
        <v>0</v>
      </c>
      <c r="T20" s="400">
        <f t="shared" si="5"/>
        <v>0</v>
      </c>
      <c r="U20" s="400">
        <f t="shared" si="5"/>
        <v>0</v>
      </c>
      <c r="V20" s="400">
        <f t="shared" si="5"/>
        <v>0</v>
      </c>
      <c r="W20" s="400">
        <f t="shared" si="5"/>
        <v>0</v>
      </c>
      <c r="X20" s="400">
        <f t="shared" si="5"/>
        <v>0</v>
      </c>
      <c r="Y20" s="400">
        <f t="shared" si="5"/>
        <v>0</v>
      </c>
      <c r="Z20" s="400">
        <f t="shared" si="5"/>
        <v>0</v>
      </c>
      <c r="AA20" s="400">
        <f t="shared" si="5"/>
        <v>0</v>
      </c>
      <c r="AB20" s="400">
        <f t="shared" si="5"/>
        <v>0</v>
      </c>
      <c r="AC20" s="400">
        <f t="shared" si="5"/>
        <v>0</v>
      </c>
      <c r="AD20" s="400">
        <f t="shared" si="5"/>
        <v>0</v>
      </c>
      <c r="AE20" s="400">
        <f t="shared" si="5"/>
        <v>0</v>
      </c>
      <c r="AF20" s="400">
        <f t="shared" si="5"/>
        <v>0</v>
      </c>
      <c r="AG20" s="400">
        <f t="shared" si="5"/>
        <v>0</v>
      </c>
      <c r="AH20" s="400">
        <f t="shared" si="5"/>
        <v>0</v>
      </c>
      <c r="AI20" s="400">
        <f t="shared" si="5"/>
        <v>0</v>
      </c>
      <c r="AJ20" s="400">
        <f t="shared" si="5"/>
        <v>0</v>
      </c>
      <c r="AK20" s="400">
        <f t="shared" si="5"/>
        <v>0</v>
      </c>
      <c r="AL20" s="400">
        <f t="shared" si="5"/>
        <v>0</v>
      </c>
      <c r="AM20" s="400">
        <f t="shared" si="5"/>
        <v>0</v>
      </c>
      <c r="AN20" s="400">
        <f t="shared" si="5"/>
        <v>0</v>
      </c>
      <c r="AO20" s="400">
        <f t="shared" si="5"/>
        <v>0</v>
      </c>
      <c r="AP20" s="400">
        <f t="shared" si="5"/>
        <v>0</v>
      </c>
      <c r="AQ20" s="400">
        <f t="shared" si="5"/>
        <v>0</v>
      </c>
      <c r="AR20" s="418">
        <f t="shared" si="5"/>
        <v>0</v>
      </c>
      <c r="AS20" s="175"/>
    </row>
    <row r="21" spans="2:46" x14ac:dyDescent="0.2">
      <c r="B21" s="175"/>
      <c r="C21" s="176" t="s">
        <v>324</v>
      </c>
      <c r="D21" s="54"/>
      <c r="E21" s="377">
        <f>E32</f>
        <v>0</v>
      </c>
      <c r="F21" s="377">
        <f t="shared" ref="F21:AR21" si="6">F32</f>
        <v>0</v>
      </c>
      <c r="G21" s="377">
        <f t="shared" si="6"/>
        <v>0</v>
      </c>
      <c r="H21" s="377">
        <f t="shared" si="6"/>
        <v>0</v>
      </c>
      <c r="I21" s="377">
        <f t="shared" si="6"/>
        <v>0</v>
      </c>
      <c r="J21" s="377">
        <f t="shared" si="6"/>
        <v>0</v>
      </c>
      <c r="K21" s="377">
        <f t="shared" si="6"/>
        <v>0</v>
      </c>
      <c r="L21" s="377">
        <f t="shared" si="6"/>
        <v>0</v>
      </c>
      <c r="M21" s="377">
        <f t="shared" si="6"/>
        <v>0</v>
      </c>
      <c r="N21" s="377">
        <f t="shared" si="6"/>
        <v>0</v>
      </c>
      <c r="O21" s="377">
        <f t="shared" si="6"/>
        <v>0</v>
      </c>
      <c r="P21" s="377">
        <f t="shared" si="6"/>
        <v>0</v>
      </c>
      <c r="Q21" s="377">
        <f t="shared" si="6"/>
        <v>0</v>
      </c>
      <c r="R21" s="377">
        <f t="shared" si="6"/>
        <v>0</v>
      </c>
      <c r="S21" s="377">
        <f t="shared" si="6"/>
        <v>0</v>
      </c>
      <c r="T21" s="377">
        <f t="shared" si="6"/>
        <v>0</v>
      </c>
      <c r="U21" s="377">
        <f t="shared" si="6"/>
        <v>0</v>
      </c>
      <c r="V21" s="377">
        <f t="shared" si="6"/>
        <v>0</v>
      </c>
      <c r="W21" s="377">
        <f t="shared" si="6"/>
        <v>0</v>
      </c>
      <c r="X21" s="377">
        <f t="shared" si="6"/>
        <v>0</v>
      </c>
      <c r="Y21" s="377">
        <f t="shared" si="6"/>
        <v>0</v>
      </c>
      <c r="Z21" s="377">
        <f t="shared" si="6"/>
        <v>0</v>
      </c>
      <c r="AA21" s="377">
        <f t="shared" si="6"/>
        <v>0</v>
      </c>
      <c r="AB21" s="377">
        <f t="shared" si="6"/>
        <v>0</v>
      </c>
      <c r="AC21" s="377">
        <f t="shared" si="6"/>
        <v>0</v>
      </c>
      <c r="AD21" s="377">
        <f t="shared" si="6"/>
        <v>0</v>
      </c>
      <c r="AE21" s="377">
        <f t="shared" si="6"/>
        <v>0</v>
      </c>
      <c r="AF21" s="377">
        <f t="shared" si="6"/>
        <v>0</v>
      </c>
      <c r="AG21" s="377">
        <f t="shared" si="6"/>
        <v>0</v>
      </c>
      <c r="AH21" s="377">
        <f t="shared" si="6"/>
        <v>0</v>
      </c>
      <c r="AI21" s="377">
        <f t="shared" si="6"/>
        <v>0</v>
      </c>
      <c r="AJ21" s="377">
        <f t="shared" si="6"/>
        <v>0</v>
      </c>
      <c r="AK21" s="377">
        <f t="shared" si="6"/>
        <v>0</v>
      </c>
      <c r="AL21" s="377">
        <f t="shared" si="6"/>
        <v>0</v>
      </c>
      <c r="AM21" s="377">
        <f t="shared" si="6"/>
        <v>0</v>
      </c>
      <c r="AN21" s="377">
        <f t="shared" si="6"/>
        <v>0</v>
      </c>
      <c r="AO21" s="377">
        <f t="shared" si="6"/>
        <v>0</v>
      </c>
      <c r="AP21" s="377">
        <f t="shared" si="6"/>
        <v>0</v>
      </c>
      <c r="AQ21" s="377">
        <f t="shared" si="6"/>
        <v>0</v>
      </c>
      <c r="AR21" s="385">
        <f t="shared" si="6"/>
        <v>0</v>
      </c>
      <c r="AS21" s="175"/>
    </row>
    <row r="22" spans="2:46" ht="13.5" thickBot="1" x14ac:dyDescent="0.25">
      <c r="B22" s="175"/>
      <c r="C22" s="537" t="s">
        <v>285</v>
      </c>
      <c r="D22" s="109"/>
      <c r="E22" s="401">
        <f>SUM(E20:E21)</f>
        <v>0</v>
      </c>
      <c r="F22" s="401">
        <f t="shared" ref="F22:AR22" si="7">SUM(F20:F21)</f>
        <v>0</v>
      </c>
      <c r="G22" s="401">
        <f t="shared" si="7"/>
        <v>0</v>
      </c>
      <c r="H22" s="401">
        <f t="shared" si="7"/>
        <v>0</v>
      </c>
      <c r="I22" s="401">
        <f t="shared" si="7"/>
        <v>0</v>
      </c>
      <c r="J22" s="401">
        <f t="shared" si="7"/>
        <v>0</v>
      </c>
      <c r="K22" s="401">
        <f t="shared" si="7"/>
        <v>0</v>
      </c>
      <c r="L22" s="401">
        <f t="shared" si="7"/>
        <v>0</v>
      </c>
      <c r="M22" s="401">
        <f t="shared" si="7"/>
        <v>0</v>
      </c>
      <c r="N22" s="401">
        <f t="shared" si="7"/>
        <v>0</v>
      </c>
      <c r="O22" s="401">
        <f t="shared" si="7"/>
        <v>0</v>
      </c>
      <c r="P22" s="401">
        <f t="shared" si="7"/>
        <v>0</v>
      </c>
      <c r="Q22" s="401">
        <f t="shared" si="7"/>
        <v>0</v>
      </c>
      <c r="R22" s="401">
        <f t="shared" si="7"/>
        <v>0</v>
      </c>
      <c r="S22" s="401">
        <f t="shared" si="7"/>
        <v>0</v>
      </c>
      <c r="T22" s="401">
        <f t="shared" si="7"/>
        <v>0</v>
      </c>
      <c r="U22" s="401">
        <f t="shared" si="7"/>
        <v>0</v>
      </c>
      <c r="V22" s="401">
        <f t="shared" si="7"/>
        <v>0</v>
      </c>
      <c r="W22" s="401">
        <f t="shared" si="7"/>
        <v>0</v>
      </c>
      <c r="X22" s="401">
        <f t="shared" si="7"/>
        <v>0</v>
      </c>
      <c r="Y22" s="401">
        <f t="shared" si="7"/>
        <v>0</v>
      </c>
      <c r="Z22" s="401">
        <f t="shared" si="7"/>
        <v>0</v>
      </c>
      <c r="AA22" s="401">
        <f t="shared" si="7"/>
        <v>0</v>
      </c>
      <c r="AB22" s="401">
        <f t="shared" si="7"/>
        <v>0</v>
      </c>
      <c r="AC22" s="401">
        <f t="shared" si="7"/>
        <v>0</v>
      </c>
      <c r="AD22" s="401">
        <f t="shared" si="7"/>
        <v>0</v>
      </c>
      <c r="AE22" s="401">
        <f t="shared" si="7"/>
        <v>0</v>
      </c>
      <c r="AF22" s="401">
        <f t="shared" si="7"/>
        <v>0</v>
      </c>
      <c r="AG22" s="401">
        <f t="shared" si="7"/>
        <v>0</v>
      </c>
      <c r="AH22" s="401">
        <f t="shared" si="7"/>
        <v>0</v>
      </c>
      <c r="AI22" s="401">
        <f t="shared" si="7"/>
        <v>0</v>
      </c>
      <c r="AJ22" s="401">
        <f t="shared" si="7"/>
        <v>0</v>
      </c>
      <c r="AK22" s="401">
        <f t="shared" si="7"/>
        <v>0</v>
      </c>
      <c r="AL22" s="401">
        <f t="shared" si="7"/>
        <v>0</v>
      </c>
      <c r="AM22" s="401">
        <f t="shared" si="7"/>
        <v>0</v>
      </c>
      <c r="AN22" s="401">
        <f t="shared" si="7"/>
        <v>0</v>
      </c>
      <c r="AO22" s="401">
        <f t="shared" si="7"/>
        <v>0</v>
      </c>
      <c r="AP22" s="401">
        <f t="shared" si="7"/>
        <v>0</v>
      </c>
      <c r="AQ22" s="401">
        <f t="shared" si="7"/>
        <v>0</v>
      </c>
      <c r="AR22" s="520">
        <f t="shared" si="7"/>
        <v>0</v>
      </c>
      <c r="AS22" s="175"/>
    </row>
    <row r="23" spans="2:46" ht="13.5" thickTop="1" x14ac:dyDescent="0.2">
      <c r="B23" s="175"/>
      <c r="C23" s="521"/>
      <c r="D23" s="521"/>
      <c r="E23" s="514">
        <f>'Tariff Calculator'!E31+Financials!E19</f>
        <v>0</v>
      </c>
      <c r="F23" s="514">
        <f>'Tariff Calculator'!F31+Financials!F19</f>
        <v>0</v>
      </c>
      <c r="G23" s="514">
        <f>'Tariff Calculator'!G31+Financials!G19</f>
        <v>0</v>
      </c>
      <c r="H23" s="514">
        <f>'Tariff Calculator'!H31+Financials!H19</f>
        <v>0</v>
      </c>
      <c r="I23" s="514">
        <f>'Tariff Calculator'!I31+Financials!I19</f>
        <v>0</v>
      </c>
      <c r="J23" s="514">
        <f>'Tariff Calculator'!J31+Financials!J19</f>
        <v>0</v>
      </c>
      <c r="K23" s="514">
        <f>'Tariff Calculator'!K31+Financials!K19</f>
        <v>0</v>
      </c>
      <c r="L23" s="514">
        <f>'Tariff Calculator'!L31+Financials!L19</f>
        <v>0</v>
      </c>
      <c r="M23" s="514">
        <f>'Tariff Calculator'!M31+Financials!M19</f>
        <v>0</v>
      </c>
      <c r="N23" s="514">
        <f>'Tariff Calculator'!N31+Financials!N19</f>
        <v>0</v>
      </c>
      <c r="O23" s="514">
        <f>'Tariff Calculator'!O31+Financials!O19</f>
        <v>0</v>
      </c>
      <c r="P23" s="514">
        <f>'Tariff Calculator'!P31+Financials!P19</f>
        <v>0</v>
      </c>
      <c r="Q23" s="514">
        <f>'Tariff Calculator'!Q31+Financials!Q19</f>
        <v>0</v>
      </c>
      <c r="R23" s="514">
        <f>'Tariff Calculator'!R31+Financials!R19</f>
        <v>0</v>
      </c>
      <c r="S23" s="514">
        <f>'Tariff Calculator'!S31+Financials!S19</f>
        <v>0</v>
      </c>
      <c r="T23" s="514">
        <f>'Tariff Calculator'!T31+Financials!T19</f>
        <v>0</v>
      </c>
      <c r="U23" s="514">
        <f>'Tariff Calculator'!U31+Financials!U19</f>
        <v>0</v>
      </c>
      <c r="V23" s="514">
        <f>'Tariff Calculator'!V31+Financials!V19</f>
        <v>0</v>
      </c>
      <c r="W23" s="514">
        <f>'Tariff Calculator'!W31+Financials!W19</f>
        <v>0</v>
      </c>
      <c r="X23" s="514">
        <f>'Tariff Calculator'!X31+Financials!X19</f>
        <v>0</v>
      </c>
      <c r="Y23" s="514">
        <f>'Tariff Calculator'!Y31+Financials!Y19</f>
        <v>0</v>
      </c>
      <c r="Z23" s="514">
        <f>'Tariff Calculator'!Z31+Financials!Z19</f>
        <v>0</v>
      </c>
      <c r="AA23" s="514">
        <f>'Tariff Calculator'!AA31+Financials!AA19</f>
        <v>0</v>
      </c>
      <c r="AB23" s="514">
        <f>'Tariff Calculator'!AB31+Financials!AB19</f>
        <v>0</v>
      </c>
      <c r="AC23" s="514">
        <f>'Tariff Calculator'!AC31+Financials!AC19</f>
        <v>0</v>
      </c>
      <c r="AD23" s="514">
        <f>'Tariff Calculator'!AD31+Financials!AD19</f>
        <v>0</v>
      </c>
      <c r="AE23" s="514">
        <f>'Tariff Calculator'!AE31+Financials!AE19</f>
        <v>0</v>
      </c>
      <c r="AF23" s="514">
        <f>'Tariff Calculator'!AF31+Financials!AF19</f>
        <v>0</v>
      </c>
      <c r="AG23" s="514">
        <f>'Tariff Calculator'!AG31+Financials!AG19</f>
        <v>0</v>
      </c>
      <c r="AH23" s="514">
        <f>'Tariff Calculator'!AH31+Financials!AH19</f>
        <v>0</v>
      </c>
      <c r="AI23" s="514">
        <f>'Tariff Calculator'!AI31+Financials!AI19</f>
        <v>0</v>
      </c>
      <c r="AJ23" s="514">
        <f>'Tariff Calculator'!AJ31+Financials!AJ19</f>
        <v>0</v>
      </c>
      <c r="AK23" s="514">
        <f>'Tariff Calculator'!AK31+Financials!AK19</f>
        <v>0</v>
      </c>
      <c r="AL23" s="514">
        <f>'Tariff Calculator'!AL31+Financials!AL19</f>
        <v>0</v>
      </c>
      <c r="AM23" s="514">
        <f>'Tariff Calculator'!AM31+Financials!AM19</f>
        <v>0</v>
      </c>
      <c r="AN23" s="514">
        <f>'Tariff Calculator'!AN31+Financials!AN19</f>
        <v>0</v>
      </c>
      <c r="AO23" s="514">
        <f>'Tariff Calculator'!AO31+Financials!AO19</f>
        <v>0</v>
      </c>
      <c r="AP23" s="514">
        <f>'Tariff Calculator'!AP31+Financials!AP19</f>
        <v>0</v>
      </c>
      <c r="AQ23" s="514">
        <f>'Tariff Calculator'!AQ31+Financials!AQ19</f>
        <v>0</v>
      </c>
      <c r="AR23" s="514">
        <f>'Tariff Calculator'!AR31+Financials!AR19</f>
        <v>0</v>
      </c>
      <c r="AS23" s="175"/>
    </row>
    <row r="24" spans="2:46" x14ac:dyDescent="0.2">
      <c r="B24" s="175"/>
      <c r="C24" s="175"/>
      <c r="D24" s="175"/>
      <c r="E24" s="342"/>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row>
    <row r="25" spans="2:46" s="174" customFormat="1" x14ac:dyDescent="0.2">
      <c r="B25" s="342"/>
      <c r="C25" s="524" t="s">
        <v>300</v>
      </c>
      <c r="D25" s="527"/>
      <c r="E25" s="343"/>
      <c r="F25" s="527" t="s">
        <v>302</v>
      </c>
      <c r="G25" s="343"/>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row>
    <row r="26" spans="2:46" x14ac:dyDescent="0.2">
      <c r="B26" s="175"/>
      <c r="C26" s="536" t="s">
        <v>284</v>
      </c>
      <c r="D26" s="108"/>
      <c r="E26" s="400">
        <f t="shared" ref="E26:AR26" si="8">E14</f>
        <v>0</v>
      </c>
      <c r="F26" s="400">
        <f t="shared" si="8"/>
        <v>0</v>
      </c>
      <c r="G26" s="400">
        <f t="shared" si="8"/>
        <v>0</v>
      </c>
      <c r="H26" s="400">
        <f t="shared" si="8"/>
        <v>0</v>
      </c>
      <c r="I26" s="400">
        <f t="shared" si="8"/>
        <v>0</v>
      </c>
      <c r="J26" s="400">
        <f t="shared" si="8"/>
        <v>0</v>
      </c>
      <c r="K26" s="400">
        <f t="shared" si="8"/>
        <v>0</v>
      </c>
      <c r="L26" s="400">
        <f t="shared" si="8"/>
        <v>0</v>
      </c>
      <c r="M26" s="400">
        <f t="shared" si="8"/>
        <v>0</v>
      </c>
      <c r="N26" s="400">
        <f t="shared" si="8"/>
        <v>0</v>
      </c>
      <c r="O26" s="400">
        <f t="shared" si="8"/>
        <v>0</v>
      </c>
      <c r="P26" s="400">
        <f t="shared" si="8"/>
        <v>0</v>
      </c>
      <c r="Q26" s="400">
        <f t="shared" si="8"/>
        <v>0</v>
      </c>
      <c r="R26" s="400">
        <f t="shared" si="8"/>
        <v>0</v>
      </c>
      <c r="S26" s="400">
        <f t="shared" si="8"/>
        <v>0</v>
      </c>
      <c r="T26" s="400">
        <f t="shared" si="8"/>
        <v>0</v>
      </c>
      <c r="U26" s="400">
        <f t="shared" si="8"/>
        <v>0</v>
      </c>
      <c r="V26" s="400">
        <f t="shared" si="8"/>
        <v>0</v>
      </c>
      <c r="W26" s="400">
        <f t="shared" si="8"/>
        <v>0</v>
      </c>
      <c r="X26" s="400">
        <f t="shared" si="8"/>
        <v>0</v>
      </c>
      <c r="Y26" s="400">
        <f t="shared" si="8"/>
        <v>0</v>
      </c>
      <c r="Z26" s="400">
        <f t="shared" si="8"/>
        <v>0</v>
      </c>
      <c r="AA26" s="400">
        <f t="shared" si="8"/>
        <v>0</v>
      </c>
      <c r="AB26" s="400">
        <f t="shared" si="8"/>
        <v>0</v>
      </c>
      <c r="AC26" s="400">
        <f t="shared" si="8"/>
        <v>0</v>
      </c>
      <c r="AD26" s="400">
        <f t="shared" si="8"/>
        <v>0</v>
      </c>
      <c r="AE26" s="400">
        <f t="shared" si="8"/>
        <v>0</v>
      </c>
      <c r="AF26" s="400">
        <f t="shared" si="8"/>
        <v>0</v>
      </c>
      <c r="AG26" s="400">
        <f t="shared" si="8"/>
        <v>0</v>
      </c>
      <c r="AH26" s="400">
        <f t="shared" si="8"/>
        <v>0</v>
      </c>
      <c r="AI26" s="400">
        <f t="shared" si="8"/>
        <v>0</v>
      </c>
      <c r="AJ26" s="400">
        <f t="shared" si="8"/>
        <v>0</v>
      </c>
      <c r="AK26" s="400">
        <f t="shared" si="8"/>
        <v>0</v>
      </c>
      <c r="AL26" s="400">
        <f t="shared" si="8"/>
        <v>0</v>
      </c>
      <c r="AM26" s="400">
        <f t="shared" si="8"/>
        <v>0</v>
      </c>
      <c r="AN26" s="400">
        <f t="shared" si="8"/>
        <v>0</v>
      </c>
      <c r="AO26" s="400">
        <f t="shared" si="8"/>
        <v>0</v>
      </c>
      <c r="AP26" s="400">
        <f t="shared" si="8"/>
        <v>0</v>
      </c>
      <c r="AQ26" s="400">
        <f t="shared" si="8"/>
        <v>0</v>
      </c>
      <c r="AR26" s="418">
        <f t="shared" si="8"/>
        <v>0</v>
      </c>
      <c r="AS26" s="175"/>
    </row>
    <row r="27" spans="2:46" x14ac:dyDescent="0.2">
      <c r="B27" s="175"/>
      <c r="C27" s="176" t="s">
        <v>593</v>
      </c>
      <c r="D27" s="54"/>
      <c r="E27" s="377">
        <f t="shared" ref="E27:AR27" si="9">E19</f>
        <v>0</v>
      </c>
      <c r="F27" s="377">
        <f t="shared" si="9"/>
        <v>0</v>
      </c>
      <c r="G27" s="377">
        <f t="shared" si="9"/>
        <v>0</v>
      </c>
      <c r="H27" s="377">
        <f t="shared" si="9"/>
        <v>0</v>
      </c>
      <c r="I27" s="377">
        <f t="shared" si="9"/>
        <v>0</v>
      </c>
      <c r="J27" s="377">
        <f t="shared" si="9"/>
        <v>0</v>
      </c>
      <c r="K27" s="377">
        <f t="shared" si="9"/>
        <v>0</v>
      </c>
      <c r="L27" s="377">
        <f t="shared" si="9"/>
        <v>0</v>
      </c>
      <c r="M27" s="377">
        <f t="shared" si="9"/>
        <v>0</v>
      </c>
      <c r="N27" s="377">
        <f t="shared" si="9"/>
        <v>0</v>
      </c>
      <c r="O27" s="377">
        <f t="shared" si="9"/>
        <v>0</v>
      </c>
      <c r="P27" s="377">
        <f t="shared" si="9"/>
        <v>0</v>
      </c>
      <c r="Q27" s="377">
        <f t="shared" si="9"/>
        <v>0</v>
      </c>
      <c r="R27" s="377">
        <f t="shared" si="9"/>
        <v>0</v>
      </c>
      <c r="S27" s="377">
        <f t="shared" si="9"/>
        <v>0</v>
      </c>
      <c r="T27" s="377">
        <f t="shared" si="9"/>
        <v>0</v>
      </c>
      <c r="U27" s="377">
        <f t="shared" si="9"/>
        <v>0</v>
      </c>
      <c r="V27" s="377">
        <f t="shared" si="9"/>
        <v>0</v>
      </c>
      <c r="W27" s="377">
        <f t="shared" si="9"/>
        <v>0</v>
      </c>
      <c r="X27" s="377">
        <f t="shared" si="9"/>
        <v>0</v>
      </c>
      <c r="Y27" s="377">
        <f t="shared" si="9"/>
        <v>0</v>
      </c>
      <c r="Z27" s="377">
        <f t="shared" si="9"/>
        <v>0</v>
      </c>
      <c r="AA27" s="377">
        <f t="shared" si="9"/>
        <v>0</v>
      </c>
      <c r="AB27" s="377">
        <f t="shared" si="9"/>
        <v>0</v>
      </c>
      <c r="AC27" s="377">
        <f t="shared" si="9"/>
        <v>0</v>
      </c>
      <c r="AD27" s="377">
        <f t="shared" si="9"/>
        <v>0</v>
      </c>
      <c r="AE27" s="377">
        <f t="shared" si="9"/>
        <v>0</v>
      </c>
      <c r="AF27" s="377">
        <f t="shared" si="9"/>
        <v>0</v>
      </c>
      <c r="AG27" s="377">
        <f t="shared" si="9"/>
        <v>0</v>
      </c>
      <c r="AH27" s="377">
        <f t="shared" si="9"/>
        <v>0</v>
      </c>
      <c r="AI27" s="377">
        <f t="shared" si="9"/>
        <v>0</v>
      </c>
      <c r="AJ27" s="377">
        <f t="shared" si="9"/>
        <v>0</v>
      </c>
      <c r="AK27" s="377">
        <f t="shared" si="9"/>
        <v>0</v>
      </c>
      <c r="AL27" s="377">
        <f t="shared" si="9"/>
        <v>0</v>
      </c>
      <c r="AM27" s="377">
        <f t="shared" si="9"/>
        <v>0</v>
      </c>
      <c r="AN27" s="377">
        <f t="shared" si="9"/>
        <v>0</v>
      </c>
      <c r="AO27" s="377">
        <f t="shared" si="9"/>
        <v>0</v>
      </c>
      <c r="AP27" s="377">
        <f t="shared" si="9"/>
        <v>0</v>
      </c>
      <c r="AQ27" s="377">
        <f t="shared" si="9"/>
        <v>0</v>
      </c>
      <c r="AR27" s="385">
        <f t="shared" si="9"/>
        <v>0</v>
      </c>
      <c r="AS27" s="175"/>
    </row>
    <row r="28" spans="2:46" x14ac:dyDescent="0.2">
      <c r="B28" s="175"/>
      <c r="C28" s="47" t="s">
        <v>303</v>
      </c>
      <c r="D28" s="400">
        <f>-('Capital Costs Details'!G151+'Capital Costs Details'!G163+'Capital Costs Details'!O188)</f>
        <v>0</v>
      </c>
      <c r="E28" s="400">
        <f>SUM(E26:E27)</f>
        <v>0</v>
      </c>
      <c r="F28" s="400">
        <f t="shared" ref="F28:AR28" si="10">SUM(F26:F27)</f>
        <v>0</v>
      </c>
      <c r="G28" s="400">
        <f t="shared" si="10"/>
        <v>0</v>
      </c>
      <c r="H28" s="400">
        <f t="shared" si="10"/>
        <v>0</v>
      </c>
      <c r="I28" s="400">
        <f t="shared" si="10"/>
        <v>0</v>
      </c>
      <c r="J28" s="400">
        <f t="shared" si="10"/>
        <v>0</v>
      </c>
      <c r="K28" s="400">
        <f t="shared" si="10"/>
        <v>0</v>
      </c>
      <c r="L28" s="400">
        <f t="shared" si="10"/>
        <v>0</v>
      </c>
      <c r="M28" s="400">
        <f t="shared" si="10"/>
        <v>0</v>
      </c>
      <c r="N28" s="400">
        <f t="shared" si="10"/>
        <v>0</v>
      </c>
      <c r="O28" s="400">
        <f t="shared" si="10"/>
        <v>0</v>
      </c>
      <c r="P28" s="400">
        <f t="shared" si="10"/>
        <v>0</v>
      </c>
      <c r="Q28" s="400">
        <f t="shared" si="10"/>
        <v>0</v>
      </c>
      <c r="R28" s="400">
        <f t="shared" si="10"/>
        <v>0</v>
      </c>
      <c r="S28" s="400">
        <f t="shared" si="10"/>
        <v>0</v>
      </c>
      <c r="T28" s="400">
        <f t="shared" si="10"/>
        <v>0</v>
      </c>
      <c r="U28" s="400">
        <f t="shared" si="10"/>
        <v>0</v>
      </c>
      <c r="V28" s="400">
        <f t="shared" si="10"/>
        <v>0</v>
      </c>
      <c r="W28" s="400">
        <f t="shared" si="10"/>
        <v>0</v>
      </c>
      <c r="X28" s="400">
        <f t="shared" si="10"/>
        <v>0</v>
      </c>
      <c r="Y28" s="400">
        <f t="shared" si="10"/>
        <v>0</v>
      </c>
      <c r="Z28" s="400">
        <f t="shared" si="10"/>
        <v>0</v>
      </c>
      <c r="AA28" s="400">
        <f t="shared" si="10"/>
        <v>0</v>
      </c>
      <c r="AB28" s="400">
        <f t="shared" si="10"/>
        <v>0</v>
      </c>
      <c r="AC28" s="400">
        <f t="shared" si="10"/>
        <v>0</v>
      </c>
      <c r="AD28" s="400">
        <f t="shared" si="10"/>
        <v>0</v>
      </c>
      <c r="AE28" s="400">
        <f t="shared" si="10"/>
        <v>0</v>
      </c>
      <c r="AF28" s="400">
        <f t="shared" si="10"/>
        <v>0</v>
      </c>
      <c r="AG28" s="400">
        <f t="shared" si="10"/>
        <v>0</v>
      </c>
      <c r="AH28" s="400">
        <f t="shared" si="10"/>
        <v>0</v>
      </c>
      <c r="AI28" s="400">
        <f t="shared" si="10"/>
        <v>0</v>
      </c>
      <c r="AJ28" s="400">
        <f t="shared" si="10"/>
        <v>0</v>
      </c>
      <c r="AK28" s="400">
        <f t="shared" si="10"/>
        <v>0</v>
      </c>
      <c r="AL28" s="400">
        <f t="shared" si="10"/>
        <v>0</v>
      </c>
      <c r="AM28" s="400">
        <f t="shared" si="10"/>
        <v>0</v>
      </c>
      <c r="AN28" s="400">
        <f t="shared" si="10"/>
        <v>0</v>
      </c>
      <c r="AO28" s="400">
        <f t="shared" si="10"/>
        <v>0</v>
      </c>
      <c r="AP28" s="400">
        <f t="shared" si="10"/>
        <v>0</v>
      </c>
      <c r="AQ28" s="400">
        <f t="shared" si="10"/>
        <v>0</v>
      </c>
      <c r="AR28" s="418">
        <f t="shared" si="10"/>
        <v>0</v>
      </c>
      <c r="AS28" s="175"/>
    </row>
    <row r="29" spans="2:46" x14ac:dyDescent="0.2">
      <c r="B29" s="175"/>
      <c r="C29" s="176" t="s">
        <v>317</v>
      </c>
      <c r="D29" s="625">
        <f>'Loan Repayment'!D11</f>
        <v>0</v>
      </c>
      <c r="E29" s="400">
        <f>'Loan Repayment'!E20</f>
        <v>0</v>
      </c>
      <c r="F29" s="400">
        <f>'Loan Repayment'!F20</f>
        <v>0</v>
      </c>
      <c r="G29" s="400">
        <f>'Loan Repayment'!G20</f>
        <v>0</v>
      </c>
      <c r="H29" s="400">
        <f>'Loan Repayment'!H20</f>
        <v>0</v>
      </c>
      <c r="I29" s="400">
        <f>'Loan Repayment'!I20</f>
        <v>0</v>
      </c>
      <c r="J29" s="400">
        <f>'Loan Repayment'!J20</f>
        <v>0</v>
      </c>
      <c r="K29" s="400">
        <f>'Loan Repayment'!K20</f>
        <v>0</v>
      </c>
      <c r="L29" s="400">
        <f>'Loan Repayment'!L20</f>
        <v>0</v>
      </c>
      <c r="M29" s="400">
        <f>'Loan Repayment'!M20</f>
        <v>0</v>
      </c>
      <c r="N29" s="400">
        <f>'Loan Repayment'!N20</f>
        <v>0</v>
      </c>
      <c r="O29" s="400">
        <f>'Loan Repayment'!O20</f>
        <v>0</v>
      </c>
      <c r="P29" s="400">
        <f>'Loan Repayment'!P20</f>
        <v>0</v>
      </c>
      <c r="Q29" s="400">
        <f>'Loan Repayment'!Q20</f>
        <v>0</v>
      </c>
      <c r="R29" s="400">
        <f>'Loan Repayment'!R20</f>
        <v>0</v>
      </c>
      <c r="S29" s="400">
        <f>'Loan Repayment'!S20</f>
        <v>0</v>
      </c>
      <c r="T29" s="400">
        <f>'Loan Repayment'!T20</f>
        <v>0</v>
      </c>
      <c r="U29" s="400">
        <f>'Loan Repayment'!U20</f>
        <v>0</v>
      </c>
      <c r="V29" s="400">
        <f>'Loan Repayment'!V20</f>
        <v>0</v>
      </c>
      <c r="W29" s="400">
        <f>'Loan Repayment'!W20</f>
        <v>0</v>
      </c>
      <c r="X29" s="400">
        <f>'Loan Repayment'!X20</f>
        <v>0</v>
      </c>
      <c r="Y29" s="400">
        <f>'Loan Repayment'!Y20</f>
        <v>0</v>
      </c>
      <c r="Z29" s="400">
        <f>'Loan Repayment'!Z20</f>
        <v>0</v>
      </c>
      <c r="AA29" s="400">
        <f>'Loan Repayment'!AA20</f>
        <v>0</v>
      </c>
      <c r="AB29" s="400">
        <f>'Loan Repayment'!AB20</f>
        <v>0</v>
      </c>
      <c r="AC29" s="400">
        <f>'Loan Repayment'!AC20</f>
        <v>0</v>
      </c>
      <c r="AD29" s="400">
        <f>'Loan Repayment'!AD20</f>
        <v>0</v>
      </c>
      <c r="AE29" s="400">
        <f>'Loan Repayment'!AE20</f>
        <v>0</v>
      </c>
      <c r="AF29" s="400">
        <f>'Loan Repayment'!AF20</f>
        <v>0</v>
      </c>
      <c r="AG29" s="400">
        <f>'Loan Repayment'!AG20</f>
        <v>0</v>
      </c>
      <c r="AH29" s="400">
        <f>'Loan Repayment'!AH20</f>
        <v>0</v>
      </c>
      <c r="AI29" s="400">
        <f>'Loan Repayment'!AI20</f>
        <v>0</v>
      </c>
      <c r="AJ29" s="400">
        <f>'Loan Repayment'!AJ20</f>
        <v>0</v>
      </c>
      <c r="AK29" s="400">
        <f>'Loan Repayment'!AK20</f>
        <v>0</v>
      </c>
      <c r="AL29" s="400">
        <f>'Loan Repayment'!AL20</f>
        <v>0</v>
      </c>
      <c r="AM29" s="400">
        <f>'Loan Repayment'!AM20</f>
        <v>0</v>
      </c>
      <c r="AN29" s="400">
        <f>'Loan Repayment'!AN20</f>
        <v>0</v>
      </c>
      <c r="AO29" s="400">
        <f>'Loan Repayment'!AO20</f>
        <v>0</v>
      </c>
      <c r="AP29" s="400">
        <f>'Loan Repayment'!AP20</f>
        <v>0</v>
      </c>
      <c r="AQ29" s="400">
        <f>'Loan Repayment'!AQ20</f>
        <v>0</v>
      </c>
      <c r="AR29" s="418">
        <f>'Loan Repayment'!AR20</f>
        <v>0</v>
      </c>
      <c r="AS29" s="175"/>
    </row>
    <row r="30" spans="2:46" x14ac:dyDescent="0.2">
      <c r="B30" s="175"/>
      <c r="C30" s="176" t="s">
        <v>596</v>
      </c>
      <c r="D30" s="387"/>
      <c r="E30" s="406">
        <f t="shared" ref="E30:AR30" si="11">E17</f>
        <v>0</v>
      </c>
      <c r="F30" s="406">
        <f t="shared" si="11"/>
        <v>0</v>
      </c>
      <c r="G30" s="406">
        <f t="shared" si="11"/>
        <v>0</v>
      </c>
      <c r="H30" s="406">
        <f t="shared" si="11"/>
        <v>0</v>
      </c>
      <c r="I30" s="406">
        <f t="shared" si="11"/>
        <v>0</v>
      </c>
      <c r="J30" s="406">
        <f t="shared" si="11"/>
        <v>0</v>
      </c>
      <c r="K30" s="406">
        <f t="shared" si="11"/>
        <v>0</v>
      </c>
      <c r="L30" s="406">
        <f t="shared" si="11"/>
        <v>0</v>
      </c>
      <c r="M30" s="406">
        <f t="shared" si="11"/>
        <v>0</v>
      </c>
      <c r="N30" s="406">
        <f t="shared" si="11"/>
        <v>0</v>
      </c>
      <c r="O30" s="406">
        <f t="shared" si="11"/>
        <v>0</v>
      </c>
      <c r="P30" s="406">
        <f t="shared" si="11"/>
        <v>0</v>
      </c>
      <c r="Q30" s="406">
        <f t="shared" si="11"/>
        <v>0</v>
      </c>
      <c r="R30" s="406">
        <f t="shared" si="11"/>
        <v>0</v>
      </c>
      <c r="S30" s="406">
        <f t="shared" si="11"/>
        <v>0</v>
      </c>
      <c r="T30" s="406">
        <f t="shared" si="11"/>
        <v>0</v>
      </c>
      <c r="U30" s="406">
        <f t="shared" si="11"/>
        <v>0</v>
      </c>
      <c r="V30" s="406">
        <f t="shared" si="11"/>
        <v>0</v>
      </c>
      <c r="W30" s="406">
        <f t="shared" si="11"/>
        <v>0</v>
      </c>
      <c r="X30" s="406">
        <f t="shared" si="11"/>
        <v>0</v>
      </c>
      <c r="Y30" s="406">
        <f t="shared" si="11"/>
        <v>0</v>
      </c>
      <c r="Z30" s="406">
        <f t="shared" si="11"/>
        <v>0</v>
      </c>
      <c r="AA30" s="406">
        <f t="shared" si="11"/>
        <v>0</v>
      </c>
      <c r="AB30" s="406">
        <f t="shared" si="11"/>
        <v>0</v>
      </c>
      <c r="AC30" s="406">
        <f t="shared" si="11"/>
        <v>0</v>
      </c>
      <c r="AD30" s="406">
        <f t="shared" si="11"/>
        <v>0</v>
      </c>
      <c r="AE30" s="406">
        <f t="shared" si="11"/>
        <v>0</v>
      </c>
      <c r="AF30" s="406">
        <f t="shared" si="11"/>
        <v>0</v>
      </c>
      <c r="AG30" s="406">
        <f t="shared" si="11"/>
        <v>0</v>
      </c>
      <c r="AH30" s="406">
        <f t="shared" si="11"/>
        <v>0</v>
      </c>
      <c r="AI30" s="406">
        <f t="shared" si="11"/>
        <v>0</v>
      </c>
      <c r="AJ30" s="406">
        <f t="shared" si="11"/>
        <v>0</v>
      </c>
      <c r="AK30" s="406">
        <f t="shared" si="11"/>
        <v>0</v>
      </c>
      <c r="AL30" s="406">
        <f t="shared" si="11"/>
        <v>0</v>
      </c>
      <c r="AM30" s="406">
        <f t="shared" si="11"/>
        <v>0</v>
      </c>
      <c r="AN30" s="406">
        <f t="shared" si="11"/>
        <v>0</v>
      </c>
      <c r="AO30" s="406">
        <f t="shared" si="11"/>
        <v>0</v>
      </c>
      <c r="AP30" s="406">
        <f t="shared" si="11"/>
        <v>0</v>
      </c>
      <c r="AQ30" s="406">
        <f t="shared" si="11"/>
        <v>0</v>
      </c>
      <c r="AR30" s="407">
        <f t="shared" si="11"/>
        <v>0</v>
      </c>
      <c r="AS30" s="175"/>
    </row>
    <row r="31" spans="2:46" x14ac:dyDescent="0.2">
      <c r="B31" s="175"/>
      <c r="C31" s="538" t="s">
        <v>531</v>
      </c>
      <c r="D31" s="625">
        <f>D28+D29</f>
        <v>0</v>
      </c>
      <c r="E31" s="400">
        <f>SUM(E28:E30)</f>
        <v>0</v>
      </c>
      <c r="F31" s="400">
        <f t="shared" ref="F31:M31" si="12">SUM(F28:F30)</f>
        <v>0</v>
      </c>
      <c r="G31" s="400">
        <f t="shared" si="12"/>
        <v>0</v>
      </c>
      <c r="H31" s="400">
        <f t="shared" si="12"/>
        <v>0</v>
      </c>
      <c r="I31" s="400">
        <f t="shared" si="12"/>
        <v>0</v>
      </c>
      <c r="J31" s="400">
        <f t="shared" si="12"/>
        <v>0</v>
      </c>
      <c r="K31" s="400">
        <f t="shared" si="12"/>
        <v>0</v>
      </c>
      <c r="L31" s="400">
        <f t="shared" si="12"/>
        <v>0</v>
      </c>
      <c r="M31" s="400">
        <f t="shared" si="12"/>
        <v>0</v>
      </c>
      <c r="N31" s="400">
        <f t="shared" ref="N31" si="13">SUM(N28:N30)</f>
        <v>0</v>
      </c>
      <c r="O31" s="400">
        <f t="shared" ref="O31" si="14">SUM(O28:O30)</f>
        <v>0</v>
      </c>
      <c r="P31" s="400">
        <f t="shared" ref="P31" si="15">SUM(P28:P30)</f>
        <v>0</v>
      </c>
      <c r="Q31" s="400">
        <f t="shared" ref="Q31" si="16">SUM(Q28:Q30)</f>
        <v>0</v>
      </c>
      <c r="R31" s="400">
        <f t="shared" ref="R31" si="17">SUM(R28:R30)</f>
        <v>0</v>
      </c>
      <c r="S31" s="400">
        <f t="shared" ref="S31" si="18">SUM(S28:S30)</f>
        <v>0</v>
      </c>
      <c r="T31" s="400">
        <f t="shared" ref="T31:U31" si="19">SUM(T28:T30)</f>
        <v>0</v>
      </c>
      <c r="U31" s="400">
        <f t="shared" si="19"/>
        <v>0</v>
      </c>
      <c r="V31" s="400">
        <f t="shared" ref="V31" si="20">SUM(V28:V30)</f>
        <v>0</v>
      </c>
      <c r="W31" s="400">
        <f t="shared" ref="W31" si="21">SUM(W28:W30)</f>
        <v>0</v>
      </c>
      <c r="X31" s="400">
        <f t="shared" ref="X31" si="22">SUM(X28:X30)</f>
        <v>0</v>
      </c>
      <c r="Y31" s="400">
        <f t="shared" ref="Y31" si="23">SUM(Y28:Y30)</f>
        <v>0</v>
      </c>
      <c r="Z31" s="400">
        <f t="shared" ref="Z31" si="24">SUM(Z28:Z30)</f>
        <v>0</v>
      </c>
      <c r="AA31" s="400">
        <f t="shared" ref="AA31" si="25">SUM(AA28:AA30)</f>
        <v>0</v>
      </c>
      <c r="AB31" s="400">
        <f t="shared" ref="AB31:AC31" si="26">SUM(AB28:AB30)</f>
        <v>0</v>
      </c>
      <c r="AC31" s="400">
        <f t="shared" si="26"/>
        <v>0</v>
      </c>
      <c r="AD31" s="400">
        <f t="shared" ref="AD31" si="27">SUM(AD28:AD30)</f>
        <v>0</v>
      </c>
      <c r="AE31" s="400">
        <f t="shared" ref="AE31" si="28">SUM(AE28:AE30)</f>
        <v>0</v>
      </c>
      <c r="AF31" s="400">
        <f t="shared" ref="AF31" si="29">SUM(AF28:AF30)</f>
        <v>0</v>
      </c>
      <c r="AG31" s="400">
        <f t="shared" ref="AG31" si="30">SUM(AG28:AG30)</f>
        <v>0</v>
      </c>
      <c r="AH31" s="400">
        <f t="shared" ref="AH31" si="31">SUM(AH28:AH30)</f>
        <v>0</v>
      </c>
      <c r="AI31" s="400">
        <f t="shared" ref="AI31" si="32">SUM(AI28:AI30)</f>
        <v>0</v>
      </c>
      <c r="AJ31" s="400">
        <f t="shared" ref="AJ31:AK31" si="33">SUM(AJ28:AJ30)</f>
        <v>0</v>
      </c>
      <c r="AK31" s="400">
        <f t="shared" si="33"/>
        <v>0</v>
      </c>
      <c r="AL31" s="400">
        <f t="shared" ref="AL31" si="34">SUM(AL28:AL30)</f>
        <v>0</v>
      </c>
      <c r="AM31" s="400">
        <f t="shared" ref="AM31" si="35">SUM(AM28:AM30)</f>
        <v>0</v>
      </c>
      <c r="AN31" s="400">
        <f t="shared" ref="AN31" si="36">SUM(AN28:AN30)</f>
        <v>0</v>
      </c>
      <c r="AO31" s="400">
        <f t="shared" ref="AO31" si="37">SUM(AO28:AO30)</f>
        <v>0</v>
      </c>
      <c r="AP31" s="400">
        <f t="shared" ref="AP31" si="38">SUM(AP28:AP30)</f>
        <v>0</v>
      </c>
      <c r="AQ31" s="400">
        <f t="shared" ref="AQ31" si="39">SUM(AQ28:AQ30)</f>
        <v>0</v>
      </c>
      <c r="AR31" s="418">
        <f t="shared" ref="AR31" si="40">SUM(AR28:AR30)</f>
        <v>0</v>
      </c>
      <c r="AS31" s="54"/>
      <c r="AT31" s="190"/>
    </row>
    <row r="32" spans="2:46" x14ac:dyDescent="0.2">
      <c r="B32" s="175"/>
      <c r="C32" s="176" t="s">
        <v>318</v>
      </c>
      <c r="D32" s="626"/>
      <c r="E32" s="406">
        <f>-IF(E31&gt;0,E20*'Tariff Inputs'!$E87,0)</f>
        <v>0</v>
      </c>
      <c r="F32" s="406">
        <f>-IF(F31&gt;0,F20*'Tariff Inputs'!$E87,0)</f>
        <v>0</v>
      </c>
      <c r="G32" s="406">
        <f>-IF(G31&gt;0,G20*'Tariff Inputs'!$E87,0)</f>
        <v>0</v>
      </c>
      <c r="H32" s="406">
        <f>-IF(H31&gt;0,H20*'Tariff Inputs'!$E87,0)</f>
        <v>0</v>
      </c>
      <c r="I32" s="406">
        <f>-IF(I31&gt;0,I20*'Tariff Inputs'!$E87,0)</f>
        <v>0</v>
      </c>
      <c r="J32" s="406">
        <f>-IF(J31&gt;0,J20*'Tariff Inputs'!$E87,0)</f>
        <v>0</v>
      </c>
      <c r="K32" s="406">
        <f>-IF(K31&gt;0,K20*'Tariff Inputs'!$E87,0)</f>
        <v>0</v>
      </c>
      <c r="L32" s="406">
        <f>-IF(L31&gt;0,L20*'Tariff Inputs'!$E87,0)</f>
        <v>0</v>
      </c>
      <c r="M32" s="406">
        <f>-IF(M31&gt;0,M20*'Tariff Inputs'!$E87,0)</f>
        <v>0</v>
      </c>
      <c r="N32" s="406">
        <f>-IF(N31&gt;0,N20*'Tariff Inputs'!$E87,0)</f>
        <v>0</v>
      </c>
      <c r="O32" s="406">
        <f>-IF(O31&gt;0,O20*'Tariff Inputs'!$E87,0)</f>
        <v>0</v>
      </c>
      <c r="P32" s="406">
        <f>-IF(P31&gt;0,P20*'Tariff Inputs'!$E87,0)</f>
        <v>0</v>
      </c>
      <c r="Q32" s="406">
        <f>-IF(Q31&gt;0,Q20*'Tariff Inputs'!$E87,0)</f>
        <v>0</v>
      </c>
      <c r="R32" s="406">
        <f>-IF(R31&gt;0,R20*'Tariff Inputs'!$E87,0)</f>
        <v>0</v>
      </c>
      <c r="S32" s="406">
        <f>-IF(S31&gt;0,S20*'Tariff Inputs'!$E87,0)</f>
        <v>0</v>
      </c>
      <c r="T32" s="406">
        <f>-IF(T31&gt;0,T20*'Tariff Inputs'!$E87,0)</f>
        <v>0</v>
      </c>
      <c r="U32" s="406">
        <f>-IF(U31&gt;0,U20*'Tariff Inputs'!$E87,0)</f>
        <v>0</v>
      </c>
      <c r="V32" s="406">
        <f>-IF(V31&gt;0,V20*'Tariff Inputs'!$E87,0)</f>
        <v>0</v>
      </c>
      <c r="W32" s="406">
        <f>-IF(W31&gt;0,W20*'Tariff Inputs'!$E87,0)</f>
        <v>0</v>
      </c>
      <c r="X32" s="406">
        <f>-IF(X31&gt;0,X20*'Tariff Inputs'!$E87,0)</f>
        <v>0</v>
      </c>
      <c r="Y32" s="406">
        <f>-IF(Y31&gt;0,Y20*'Tariff Inputs'!$E87,0)</f>
        <v>0</v>
      </c>
      <c r="Z32" s="406">
        <f>-IF(Z31&gt;0,Z20*'Tariff Inputs'!$E87,0)</f>
        <v>0</v>
      </c>
      <c r="AA32" s="406">
        <f>-IF(AA31&gt;0,AA20*'Tariff Inputs'!$E87,0)</f>
        <v>0</v>
      </c>
      <c r="AB32" s="406">
        <f>-IF(AB31&gt;0,AB20*'Tariff Inputs'!$E87,0)</f>
        <v>0</v>
      </c>
      <c r="AC32" s="406">
        <f>-IF(AC31&gt;0,AC20*'Tariff Inputs'!$E87,0)</f>
        <v>0</v>
      </c>
      <c r="AD32" s="406">
        <f>-IF(AD31&gt;0,AD20*'Tariff Inputs'!$E87,0)</f>
        <v>0</v>
      </c>
      <c r="AE32" s="406">
        <f>-IF(AE31&gt;0,AE20*'Tariff Inputs'!$E87,0)</f>
        <v>0</v>
      </c>
      <c r="AF32" s="406">
        <f>-IF(AF31&gt;0,AF20*'Tariff Inputs'!$E87,0)</f>
        <v>0</v>
      </c>
      <c r="AG32" s="406">
        <f>-IF(AG31&gt;0,AG20*'Tariff Inputs'!$E87,0)</f>
        <v>0</v>
      </c>
      <c r="AH32" s="406">
        <f>-IF(AH31&gt;0,AH20*'Tariff Inputs'!$E87,0)</f>
        <v>0</v>
      </c>
      <c r="AI32" s="406">
        <f>-IF(AI31&gt;0,AI20*'Tariff Inputs'!$E87,0)</f>
        <v>0</v>
      </c>
      <c r="AJ32" s="406">
        <f>-IF(AJ31&gt;0,AJ20*'Tariff Inputs'!$E87,0)</f>
        <v>0</v>
      </c>
      <c r="AK32" s="406">
        <f>-IF(AK31&gt;0,AK20*'Tariff Inputs'!$E87,0)</f>
        <v>0</v>
      </c>
      <c r="AL32" s="406">
        <f>-IF(AL31&gt;0,AL20*'Tariff Inputs'!$E87,0)</f>
        <v>0</v>
      </c>
      <c r="AM32" s="406">
        <f>-IF(AM31&gt;0,AM20*'Tariff Inputs'!$E87,0)</f>
        <v>0</v>
      </c>
      <c r="AN32" s="406">
        <f>-IF(AN31&gt;0,AN20*'Tariff Inputs'!$E87,0)</f>
        <v>0</v>
      </c>
      <c r="AO32" s="406">
        <f>-IF(AO31&gt;0,AO20*'Tariff Inputs'!$E87,0)</f>
        <v>0</v>
      </c>
      <c r="AP32" s="406">
        <f>-IF(AP31&gt;0,AP20*'Tariff Inputs'!$E87,0)</f>
        <v>0</v>
      </c>
      <c r="AQ32" s="406">
        <f>-IF(AQ31&gt;0,AQ20*'Tariff Inputs'!$E87,0)</f>
        <v>0</v>
      </c>
      <c r="AR32" s="407">
        <f>-IF(AR31&gt;0,AR20*'Tariff Inputs'!$E87,0)</f>
        <v>0</v>
      </c>
      <c r="AS32" s="175"/>
    </row>
    <row r="33" spans="2:45" s="171" customFormat="1" ht="13.5" thickBot="1" x14ac:dyDescent="0.25">
      <c r="B33" s="375"/>
      <c r="C33" s="537" t="s">
        <v>323</v>
      </c>
      <c r="D33" s="109"/>
      <c r="E33" s="401">
        <f>SUM(E31:E32)</f>
        <v>0</v>
      </c>
      <c r="F33" s="401">
        <f t="shared" ref="F33:AR33" si="41">SUM(F31:F32)</f>
        <v>0</v>
      </c>
      <c r="G33" s="401">
        <f t="shared" si="41"/>
        <v>0</v>
      </c>
      <c r="H33" s="401">
        <f t="shared" si="41"/>
        <v>0</v>
      </c>
      <c r="I33" s="401">
        <f t="shared" si="41"/>
        <v>0</v>
      </c>
      <c r="J33" s="401">
        <f t="shared" si="41"/>
        <v>0</v>
      </c>
      <c r="K33" s="401">
        <f t="shared" si="41"/>
        <v>0</v>
      </c>
      <c r="L33" s="401">
        <f t="shared" si="41"/>
        <v>0</v>
      </c>
      <c r="M33" s="401">
        <f t="shared" si="41"/>
        <v>0</v>
      </c>
      <c r="N33" s="401">
        <f t="shared" si="41"/>
        <v>0</v>
      </c>
      <c r="O33" s="401">
        <f t="shared" si="41"/>
        <v>0</v>
      </c>
      <c r="P33" s="401">
        <f t="shared" si="41"/>
        <v>0</v>
      </c>
      <c r="Q33" s="401">
        <f t="shared" si="41"/>
        <v>0</v>
      </c>
      <c r="R33" s="401">
        <f t="shared" si="41"/>
        <v>0</v>
      </c>
      <c r="S33" s="401">
        <f t="shared" si="41"/>
        <v>0</v>
      </c>
      <c r="T33" s="401">
        <f t="shared" si="41"/>
        <v>0</v>
      </c>
      <c r="U33" s="401">
        <f t="shared" si="41"/>
        <v>0</v>
      </c>
      <c r="V33" s="401">
        <f t="shared" si="41"/>
        <v>0</v>
      </c>
      <c r="W33" s="401">
        <f t="shared" si="41"/>
        <v>0</v>
      </c>
      <c r="X33" s="401">
        <f t="shared" si="41"/>
        <v>0</v>
      </c>
      <c r="Y33" s="401">
        <f t="shared" si="41"/>
        <v>0</v>
      </c>
      <c r="Z33" s="401">
        <f t="shared" si="41"/>
        <v>0</v>
      </c>
      <c r="AA33" s="401">
        <f t="shared" si="41"/>
        <v>0</v>
      </c>
      <c r="AB33" s="401">
        <f t="shared" si="41"/>
        <v>0</v>
      </c>
      <c r="AC33" s="401">
        <f t="shared" si="41"/>
        <v>0</v>
      </c>
      <c r="AD33" s="401">
        <f t="shared" si="41"/>
        <v>0</v>
      </c>
      <c r="AE33" s="401">
        <f t="shared" si="41"/>
        <v>0</v>
      </c>
      <c r="AF33" s="401">
        <f t="shared" si="41"/>
        <v>0</v>
      </c>
      <c r="AG33" s="401">
        <f t="shared" si="41"/>
        <v>0</v>
      </c>
      <c r="AH33" s="401">
        <f t="shared" si="41"/>
        <v>0</v>
      </c>
      <c r="AI33" s="401">
        <f t="shared" si="41"/>
        <v>0</v>
      </c>
      <c r="AJ33" s="401">
        <f t="shared" si="41"/>
        <v>0</v>
      </c>
      <c r="AK33" s="401">
        <f t="shared" si="41"/>
        <v>0</v>
      </c>
      <c r="AL33" s="401">
        <f t="shared" si="41"/>
        <v>0</v>
      </c>
      <c r="AM33" s="401">
        <f t="shared" si="41"/>
        <v>0</v>
      </c>
      <c r="AN33" s="401">
        <f t="shared" si="41"/>
        <v>0</v>
      </c>
      <c r="AO33" s="401">
        <f t="shared" si="41"/>
        <v>0</v>
      </c>
      <c r="AP33" s="401">
        <f t="shared" si="41"/>
        <v>0</v>
      </c>
      <c r="AQ33" s="401">
        <f t="shared" si="41"/>
        <v>0</v>
      </c>
      <c r="AR33" s="520">
        <f t="shared" si="41"/>
        <v>0</v>
      </c>
      <c r="AS33" s="375"/>
    </row>
    <row r="34" spans="2:45" s="171" customFormat="1" ht="13.5" thickTop="1" x14ac:dyDescent="0.2">
      <c r="B34" s="375"/>
      <c r="C34" s="521"/>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375"/>
    </row>
    <row r="35" spans="2:45" s="171" customFormat="1" x14ac:dyDescent="0.2">
      <c r="B35" s="375"/>
      <c r="C35" s="521"/>
      <c r="D35" s="521"/>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375"/>
    </row>
    <row r="36" spans="2:45" x14ac:dyDescent="0.2">
      <c r="B36" s="175"/>
      <c r="C36" s="501" t="s">
        <v>535</v>
      </c>
      <c r="D36" s="175"/>
      <c r="E36" s="175"/>
      <c r="F36" s="175" t="s">
        <v>306</v>
      </c>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row>
    <row r="37" spans="2:45" x14ac:dyDescent="0.2">
      <c r="B37" s="175"/>
      <c r="C37" s="539" t="s">
        <v>301</v>
      </c>
      <c r="D37" s="108"/>
      <c r="E37" s="402">
        <f t="shared" ref="E37:AR37" si="42">IF(-(E30+E29)&gt;0,E26/-(E30+E29),0)</f>
        <v>0</v>
      </c>
      <c r="F37" s="402">
        <f t="shared" si="42"/>
        <v>0</v>
      </c>
      <c r="G37" s="402">
        <f t="shared" si="42"/>
        <v>0</v>
      </c>
      <c r="H37" s="402">
        <f t="shared" si="42"/>
        <v>0</v>
      </c>
      <c r="I37" s="402">
        <f t="shared" si="42"/>
        <v>0</v>
      </c>
      <c r="J37" s="402">
        <f t="shared" si="42"/>
        <v>0</v>
      </c>
      <c r="K37" s="402">
        <f t="shared" si="42"/>
        <v>0</v>
      </c>
      <c r="L37" s="402">
        <f t="shared" si="42"/>
        <v>0</v>
      </c>
      <c r="M37" s="402">
        <f t="shared" si="42"/>
        <v>0</v>
      </c>
      <c r="N37" s="402">
        <f t="shared" si="42"/>
        <v>0</v>
      </c>
      <c r="O37" s="402">
        <f t="shared" si="42"/>
        <v>0</v>
      </c>
      <c r="P37" s="402">
        <f t="shared" si="42"/>
        <v>0</v>
      </c>
      <c r="Q37" s="402">
        <f t="shared" si="42"/>
        <v>0</v>
      </c>
      <c r="R37" s="402">
        <f t="shared" si="42"/>
        <v>0</v>
      </c>
      <c r="S37" s="402">
        <f t="shared" si="42"/>
        <v>0</v>
      </c>
      <c r="T37" s="402">
        <f t="shared" si="42"/>
        <v>0</v>
      </c>
      <c r="U37" s="402">
        <f t="shared" si="42"/>
        <v>0</v>
      </c>
      <c r="V37" s="402">
        <f t="shared" si="42"/>
        <v>0</v>
      </c>
      <c r="W37" s="402">
        <f t="shared" si="42"/>
        <v>0</v>
      </c>
      <c r="X37" s="402">
        <f t="shared" si="42"/>
        <v>0</v>
      </c>
      <c r="Y37" s="402">
        <f t="shared" si="42"/>
        <v>0</v>
      </c>
      <c r="Z37" s="402">
        <f t="shared" si="42"/>
        <v>0</v>
      </c>
      <c r="AA37" s="402">
        <f t="shared" si="42"/>
        <v>0</v>
      </c>
      <c r="AB37" s="402">
        <f t="shared" si="42"/>
        <v>0</v>
      </c>
      <c r="AC37" s="402">
        <f t="shared" si="42"/>
        <v>0</v>
      </c>
      <c r="AD37" s="402">
        <f t="shared" si="42"/>
        <v>0</v>
      </c>
      <c r="AE37" s="402">
        <f t="shared" si="42"/>
        <v>0</v>
      </c>
      <c r="AF37" s="402">
        <f t="shared" si="42"/>
        <v>0</v>
      </c>
      <c r="AG37" s="402">
        <f t="shared" si="42"/>
        <v>0</v>
      </c>
      <c r="AH37" s="402">
        <f t="shared" si="42"/>
        <v>0</v>
      </c>
      <c r="AI37" s="402">
        <f t="shared" si="42"/>
        <v>0</v>
      </c>
      <c r="AJ37" s="402">
        <f t="shared" si="42"/>
        <v>0</v>
      </c>
      <c r="AK37" s="402">
        <f t="shared" si="42"/>
        <v>0</v>
      </c>
      <c r="AL37" s="402">
        <f t="shared" si="42"/>
        <v>0</v>
      </c>
      <c r="AM37" s="402">
        <f t="shared" si="42"/>
        <v>0</v>
      </c>
      <c r="AN37" s="402">
        <f t="shared" si="42"/>
        <v>0</v>
      </c>
      <c r="AO37" s="402">
        <f t="shared" si="42"/>
        <v>0</v>
      </c>
      <c r="AP37" s="402">
        <f t="shared" si="42"/>
        <v>0</v>
      </c>
      <c r="AQ37" s="402">
        <f t="shared" si="42"/>
        <v>0</v>
      </c>
      <c r="AR37" s="403">
        <f t="shared" si="42"/>
        <v>0</v>
      </c>
      <c r="AS37" s="175"/>
    </row>
    <row r="38" spans="2:45" x14ac:dyDescent="0.2">
      <c r="B38" s="175"/>
      <c r="C38" s="540" t="s">
        <v>304</v>
      </c>
      <c r="D38" s="54"/>
      <c r="E38" s="404">
        <f t="shared" ref="E38:AR38" si="43">IF(ABS(E17)&gt;1,E16/-E17,0)</f>
        <v>0</v>
      </c>
      <c r="F38" s="404">
        <f t="shared" si="43"/>
        <v>0</v>
      </c>
      <c r="G38" s="404">
        <f t="shared" si="43"/>
        <v>0</v>
      </c>
      <c r="H38" s="404">
        <f t="shared" si="43"/>
        <v>0</v>
      </c>
      <c r="I38" s="404">
        <f t="shared" si="43"/>
        <v>0</v>
      </c>
      <c r="J38" s="404">
        <f t="shared" si="43"/>
        <v>0</v>
      </c>
      <c r="K38" s="404">
        <f t="shared" si="43"/>
        <v>0</v>
      </c>
      <c r="L38" s="404">
        <f t="shared" si="43"/>
        <v>0</v>
      </c>
      <c r="M38" s="404">
        <f t="shared" si="43"/>
        <v>0</v>
      </c>
      <c r="N38" s="404">
        <f t="shared" si="43"/>
        <v>0</v>
      </c>
      <c r="O38" s="404">
        <f t="shared" si="43"/>
        <v>0</v>
      </c>
      <c r="P38" s="404">
        <f t="shared" si="43"/>
        <v>0</v>
      </c>
      <c r="Q38" s="404">
        <f t="shared" si="43"/>
        <v>0</v>
      </c>
      <c r="R38" s="404">
        <f t="shared" si="43"/>
        <v>0</v>
      </c>
      <c r="S38" s="404">
        <f t="shared" si="43"/>
        <v>0</v>
      </c>
      <c r="T38" s="404">
        <f t="shared" si="43"/>
        <v>0</v>
      </c>
      <c r="U38" s="404">
        <f t="shared" si="43"/>
        <v>0</v>
      </c>
      <c r="V38" s="404">
        <f t="shared" si="43"/>
        <v>0</v>
      </c>
      <c r="W38" s="404">
        <f t="shared" si="43"/>
        <v>0</v>
      </c>
      <c r="X38" s="404">
        <f t="shared" si="43"/>
        <v>0</v>
      </c>
      <c r="Y38" s="404">
        <f t="shared" si="43"/>
        <v>0</v>
      </c>
      <c r="Z38" s="404">
        <f t="shared" si="43"/>
        <v>0</v>
      </c>
      <c r="AA38" s="404">
        <f t="shared" si="43"/>
        <v>0</v>
      </c>
      <c r="AB38" s="404">
        <f t="shared" si="43"/>
        <v>0</v>
      </c>
      <c r="AC38" s="404">
        <f t="shared" si="43"/>
        <v>0</v>
      </c>
      <c r="AD38" s="404">
        <f t="shared" si="43"/>
        <v>0</v>
      </c>
      <c r="AE38" s="404">
        <f t="shared" si="43"/>
        <v>0</v>
      </c>
      <c r="AF38" s="404">
        <f t="shared" si="43"/>
        <v>0</v>
      </c>
      <c r="AG38" s="404">
        <f t="shared" si="43"/>
        <v>0</v>
      </c>
      <c r="AH38" s="404">
        <f t="shared" si="43"/>
        <v>0</v>
      </c>
      <c r="AI38" s="404">
        <f t="shared" si="43"/>
        <v>0</v>
      </c>
      <c r="AJ38" s="404">
        <f t="shared" si="43"/>
        <v>0</v>
      </c>
      <c r="AK38" s="404">
        <f t="shared" si="43"/>
        <v>0</v>
      </c>
      <c r="AL38" s="404">
        <f t="shared" si="43"/>
        <v>0</v>
      </c>
      <c r="AM38" s="404">
        <f t="shared" si="43"/>
        <v>0</v>
      </c>
      <c r="AN38" s="404">
        <f t="shared" si="43"/>
        <v>0</v>
      </c>
      <c r="AO38" s="404">
        <f t="shared" si="43"/>
        <v>0</v>
      </c>
      <c r="AP38" s="404">
        <f t="shared" si="43"/>
        <v>0</v>
      </c>
      <c r="AQ38" s="404">
        <f t="shared" si="43"/>
        <v>0</v>
      </c>
      <c r="AR38" s="405">
        <f t="shared" si="43"/>
        <v>0</v>
      </c>
      <c r="AS38" s="175"/>
    </row>
    <row r="39" spans="2:45" s="174" customFormat="1" x14ac:dyDescent="0.2">
      <c r="B39" s="342"/>
      <c r="C39" s="541" t="s">
        <v>305</v>
      </c>
      <c r="D39" s="406"/>
      <c r="E39" s="531">
        <f>E26+(-'Tariff Calculator'!E23)+(-Financials!E27)+(Financials!D32-Financials!E32)</f>
        <v>0</v>
      </c>
      <c r="F39" s="531">
        <f>IF(F5&lt;='Tariff Inputs'!$D17,(F26+('Tariff Calculator'!E23-'Tariff Calculator'!F23)+(Financials!E27-Financials!F27)-('Tariff Calculator'!F18)+(Financials!E32-Financials!F32)),0)</f>
        <v>0</v>
      </c>
      <c r="G39" s="531">
        <f>IF(G5&lt;='Tariff Inputs'!$D17,(G26+('Tariff Calculator'!F23-'Tariff Calculator'!G23)+(Financials!F27-Financials!G27)-('Tariff Calculator'!G18)+(Financials!F32-Financials!G32)),0)</f>
        <v>0</v>
      </c>
      <c r="H39" s="531">
        <f>IF(H5&lt;='Tariff Inputs'!$D17,(H26+('Tariff Calculator'!G23-'Tariff Calculator'!H23)+(Financials!G27-Financials!H27)-('Tariff Calculator'!H18)+(Financials!G32-Financials!H32)),0)</f>
        <v>0</v>
      </c>
      <c r="I39" s="531">
        <f>IF(I5&lt;='Tariff Inputs'!$D17,(I26+('Tariff Calculator'!H23-'Tariff Calculator'!I23)+(Financials!H27-Financials!I27)-('Tariff Calculator'!I18)+(Financials!H32-Financials!I32)),0)</f>
        <v>0</v>
      </c>
      <c r="J39" s="531">
        <f>IF(J5&lt;='Tariff Inputs'!$D17,(J26+('Tariff Calculator'!I23-'Tariff Calculator'!J23)+(Financials!I27-Financials!J27)-('Tariff Calculator'!J18)+(Financials!I32-Financials!J32)),0)</f>
        <v>0</v>
      </c>
      <c r="K39" s="531">
        <f>IF(K5&lt;='Tariff Inputs'!$D17,(K26+('Tariff Calculator'!J23-'Tariff Calculator'!K23)+(Financials!J27-Financials!K27)-('Tariff Calculator'!K18)+(Financials!J32-Financials!K32)),0)</f>
        <v>0</v>
      </c>
      <c r="L39" s="531">
        <f>IF(L5&lt;='Tariff Inputs'!$D17,(L26+('Tariff Calculator'!K23-'Tariff Calculator'!L23)+(Financials!K27-Financials!L27)-('Tariff Calculator'!L18)+(Financials!K32-Financials!L32)),0)</f>
        <v>0</v>
      </c>
      <c r="M39" s="531">
        <f>IF(M5&lt;='Tariff Inputs'!$D17,(M26+('Tariff Calculator'!L23-'Tariff Calculator'!M23)+(Financials!L27-Financials!M27)-('Tariff Calculator'!M18)+(Financials!L32-Financials!M32)),0)</f>
        <v>0</v>
      </c>
      <c r="N39" s="531">
        <f>IF(N5&lt;='Tariff Inputs'!$D17,(N26+('Tariff Calculator'!M23-'Tariff Calculator'!N23)+(Financials!M27-Financials!N27)-('Tariff Calculator'!N18)+(Financials!M32-Financials!N32)),0)</f>
        <v>0</v>
      </c>
      <c r="O39" s="531">
        <f>IF(O5&lt;='Tariff Inputs'!$D17,(O26+('Tariff Calculator'!N23-'Tariff Calculator'!O23)+(Financials!N27-Financials!O27)-('Tariff Calculator'!O18)+(Financials!N32-Financials!O32)),0)</f>
        <v>0</v>
      </c>
      <c r="P39" s="531">
        <f>IF(P5&lt;='Tariff Inputs'!$D17,(P26+('Tariff Calculator'!O23-'Tariff Calculator'!P23)+(Financials!O27-Financials!P27)-('Tariff Calculator'!P18)+(Financials!O32-Financials!P32)),0)</f>
        <v>0</v>
      </c>
      <c r="Q39" s="531">
        <f>IF(Q5&lt;='Tariff Inputs'!$D17,(Q26+('Tariff Calculator'!P23-'Tariff Calculator'!Q23)+(Financials!P27-Financials!Q27)-('Tariff Calculator'!Q18)+(Financials!P32-Financials!Q32)),0)</f>
        <v>0</v>
      </c>
      <c r="R39" s="531">
        <f>IF(R5&lt;='Tariff Inputs'!$D17,(R26+('Tariff Calculator'!Q23-'Tariff Calculator'!R23)+(Financials!Q27-Financials!R27)-('Tariff Calculator'!R18)+(Financials!Q32-Financials!R32)),0)</f>
        <v>0</v>
      </c>
      <c r="S39" s="531">
        <f>IF(S5&lt;='Tariff Inputs'!$D17,(S26+('Tariff Calculator'!R23-'Tariff Calculator'!S23)+(Financials!R27-Financials!S27)-('Tariff Calculator'!S18)+(Financials!R32-Financials!S32)),0)</f>
        <v>0</v>
      </c>
      <c r="T39" s="531">
        <f>IF(T5&lt;='Tariff Inputs'!$D17,(T26+('Tariff Calculator'!S23-'Tariff Calculator'!T23)+(Financials!S27-Financials!T27)-('Tariff Calculator'!T18)+(Financials!S32-Financials!T32)),0)</f>
        <v>0</v>
      </c>
      <c r="U39" s="531">
        <f>IF(U5&lt;='Tariff Inputs'!$D17,(U26+('Tariff Calculator'!T23-'Tariff Calculator'!U23)+(Financials!T27-Financials!U27)-('Tariff Calculator'!U18)+(Financials!T32-Financials!U32)),0)</f>
        <v>0</v>
      </c>
      <c r="V39" s="531">
        <f>IF(V5&lt;='Tariff Inputs'!$D17,(V26+('Tariff Calculator'!U23-'Tariff Calculator'!V23)+(Financials!U27-Financials!V27)-('Tariff Calculator'!V18)+(Financials!U32-Financials!V32)),0)</f>
        <v>0</v>
      </c>
      <c r="W39" s="531">
        <f>IF(W5&lt;='Tariff Inputs'!$D17,(W26+('Tariff Calculator'!V23-'Tariff Calculator'!W23)+(Financials!V27-Financials!W27)-('Tariff Calculator'!W18)+(Financials!V32-Financials!W32)),0)</f>
        <v>0</v>
      </c>
      <c r="X39" s="531">
        <f>IF(X5&lt;='Tariff Inputs'!$D17,(X26+('Tariff Calculator'!W23-'Tariff Calculator'!X23)+(Financials!W27-Financials!X27)-('Tariff Calculator'!X18)+(Financials!W32-Financials!X32)),0)</f>
        <v>0</v>
      </c>
      <c r="Y39" s="531">
        <f>IF(Y5&lt;='Tariff Inputs'!$D17,(Y26+('Tariff Calculator'!X23-'Tariff Calculator'!Y23)+(Financials!X27-Financials!Y27)-('Tariff Calculator'!Y18)+(Financials!X32-Financials!Y32)),0)</f>
        <v>0</v>
      </c>
      <c r="Z39" s="531">
        <f>IF(Z5&lt;='Tariff Inputs'!$D17,(Z26+('Tariff Calculator'!Y23-'Tariff Calculator'!Z23)+(Financials!Y27-Financials!Z27)-('Tariff Calculator'!Z18)+(Financials!Y32-Financials!Z32)),0)</f>
        <v>0</v>
      </c>
      <c r="AA39" s="531">
        <f>IF(AA5&lt;='Tariff Inputs'!$D17,(AA26+('Tariff Calculator'!Z23-'Tariff Calculator'!AA23)+(Financials!Z27-Financials!AA27)-('Tariff Calculator'!AA18)+(Financials!Z32-Financials!AA32)),0)</f>
        <v>0</v>
      </c>
      <c r="AB39" s="531">
        <f>IF(AB5&lt;='Tariff Inputs'!$D17,(AB26+('Tariff Calculator'!AA23-'Tariff Calculator'!AB23)+(Financials!AA27-Financials!AB27)-('Tariff Calculator'!AB18)+(Financials!AA32-Financials!AB32)),0)</f>
        <v>0</v>
      </c>
      <c r="AC39" s="531">
        <f>IF(AC5&lt;='Tariff Inputs'!$D17,(AC26+('Tariff Calculator'!AB23-'Tariff Calculator'!AC23)+(Financials!AB27-Financials!AC27)-('Tariff Calculator'!AC18)+(Financials!AB32-Financials!AC32)),0)</f>
        <v>0</v>
      </c>
      <c r="AD39" s="531">
        <f>IF(AD5&lt;='Tariff Inputs'!$D17,(AD26+('Tariff Calculator'!AC23-'Tariff Calculator'!AD23)+(Financials!AC27-Financials!AD27)-('Tariff Calculator'!AD18)+(Financials!AC32-Financials!AD32)),0)</f>
        <v>0</v>
      </c>
      <c r="AE39" s="531">
        <f>IF(AE5&lt;='Tariff Inputs'!$D17,(AE26+('Tariff Calculator'!AD23-'Tariff Calculator'!AE23)+(Financials!AD27-Financials!AE27)-('Tariff Calculator'!AE18)+(Financials!AD32-Financials!AE32)),0)</f>
        <v>0</v>
      </c>
      <c r="AF39" s="531">
        <f>IF(AF5&lt;='Tariff Inputs'!$D17,(AF26+('Tariff Calculator'!AE23-'Tariff Calculator'!AF23)+(Financials!AE27-Financials!AF27)-('Tariff Calculator'!AF18)+(Financials!AE32-Financials!AF32)),0)</f>
        <v>0</v>
      </c>
      <c r="AG39" s="531">
        <f>IF(AG5&lt;='Tariff Inputs'!$D17,(AG26+('Tariff Calculator'!AF23-'Tariff Calculator'!AG23)+(Financials!AF27-Financials!AG27)-('Tariff Calculator'!AG18)+(Financials!AF32-Financials!AG32)),0)</f>
        <v>0</v>
      </c>
      <c r="AH39" s="531">
        <f>IF(AH5&lt;='Tariff Inputs'!$D17,(AH26+('Tariff Calculator'!AG23-'Tariff Calculator'!AH23)+(Financials!AG27-Financials!AH27)-('Tariff Calculator'!AH18)+(Financials!AG32-Financials!AH32)),0)</f>
        <v>0</v>
      </c>
      <c r="AI39" s="531">
        <f>IF(AI5&lt;='Tariff Inputs'!$D17,(AI26+('Tariff Calculator'!AH23-'Tariff Calculator'!AI23)+(Financials!AH27-Financials!AI27)-('Tariff Calculator'!AI18)+(Financials!AH32-Financials!AI32)),0)</f>
        <v>0</v>
      </c>
      <c r="AJ39" s="531">
        <f>IF(AJ5&lt;='Tariff Inputs'!$D17,(AJ26+('Tariff Calculator'!AI23-'Tariff Calculator'!AJ23)+(Financials!AI27-Financials!AJ27)-('Tariff Calculator'!AJ18)+(Financials!AI32-Financials!AJ32)),0)</f>
        <v>0</v>
      </c>
      <c r="AK39" s="531">
        <f>IF(AK5&lt;='Tariff Inputs'!$D17,(AK26+('Tariff Calculator'!AJ23-'Tariff Calculator'!AK23)+(Financials!AJ27-Financials!AK27)-('Tariff Calculator'!AK18)+(Financials!AJ32-Financials!AK32)),0)</f>
        <v>0</v>
      </c>
      <c r="AL39" s="531">
        <f>IF(AL5&lt;='Tariff Inputs'!$D17,(AL26+('Tariff Calculator'!AK23-'Tariff Calculator'!AL23)+(Financials!AK27-Financials!AL27)-('Tariff Calculator'!AL18)+(Financials!AK32-Financials!AL32)),0)</f>
        <v>0</v>
      </c>
      <c r="AM39" s="531">
        <f>IF(AM5&lt;='Tariff Inputs'!$D17,(AM26+('Tariff Calculator'!AL23-'Tariff Calculator'!AM23)+(Financials!AL27-Financials!AM27)-('Tariff Calculator'!AM18)+(Financials!AL32-Financials!AM32)),0)</f>
        <v>0</v>
      </c>
      <c r="AN39" s="531">
        <f>IF(AN5&lt;='Tariff Inputs'!$D17,(AN26+('Tariff Calculator'!AM23-'Tariff Calculator'!AN23)+(Financials!AM27-Financials!AN27)-('Tariff Calculator'!AN18)+(Financials!AM32-Financials!AN32)),0)</f>
        <v>0</v>
      </c>
      <c r="AO39" s="531">
        <f>IF(AO5&lt;='Tariff Inputs'!$D17,(AO26+('Tariff Calculator'!AN23-'Tariff Calculator'!AO23)+(Financials!AN27-Financials!AO27)-('Tariff Calculator'!AO18)+(Financials!AN32-Financials!AO32)),0)</f>
        <v>0</v>
      </c>
      <c r="AP39" s="531">
        <f>IF(AP5&lt;='Tariff Inputs'!$D17,(AP26+('Tariff Calculator'!AO23-'Tariff Calculator'!AP23)+(Financials!AO27-Financials!AP27)-('Tariff Calculator'!AP18)+(Financials!AO32-Financials!AP32)),0)</f>
        <v>0</v>
      </c>
      <c r="AQ39" s="531">
        <f>IF(AQ5&lt;='Tariff Inputs'!$D17,(AQ26+('Tariff Calculator'!AP23-'Tariff Calculator'!AQ23)+(Financials!AP27-Financials!AQ27)-('Tariff Calculator'!AQ18)+(Financials!AP32-Financials!AQ32)),0)</f>
        <v>0</v>
      </c>
      <c r="AR39" s="504">
        <f>IF(AR5&lt;='Tariff Inputs'!$D17,(AR26+('Tariff Calculator'!AQ23-'Tariff Calculator'!AR23)+(Financials!AQ27-Financials!AR27)-('Tariff Calculator'!AR18)+(Financials!AQ32-Financials!AR32)),0)</f>
        <v>0</v>
      </c>
      <c r="AS39" s="342"/>
    </row>
    <row r="40" spans="2:45" s="174" customFormat="1" x14ac:dyDescent="0.2">
      <c r="B40" s="342"/>
      <c r="C40" s="514"/>
      <c r="D40" s="377"/>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42"/>
    </row>
    <row r="41" spans="2:45" x14ac:dyDescent="0.2">
      <c r="B41" s="175"/>
      <c r="C41" s="528"/>
      <c r="D41" s="54"/>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175"/>
    </row>
    <row r="42" spans="2:45" x14ac:dyDescent="0.2">
      <c r="B42" s="175"/>
      <c r="C42" s="532" t="s">
        <v>532</v>
      </c>
      <c r="D42" s="175"/>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175"/>
    </row>
    <row r="43" spans="2:45" x14ac:dyDescent="0.2">
      <c r="B43" s="175"/>
      <c r="C43" s="515" t="s">
        <v>288</v>
      </c>
      <c r="D43" s="534">
        <f>NPV('Tariff Inputs'!H86,D28:AR28)</f>
        <v>0</v>
      </c>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row>
    <row r="44" spans="2:45" x14ac:dyDescent="0.2">
      <c r="B44" s="175"/>
      <c r="C44" s="515" t="s">
        <v>595</v>
      </c>
      <c r="D44" s="534">
        <f>NPV('Tariff Inputs'!H84,D31:AR31)</f>
        <v>0</v>
      </c>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row>
    <row r="45" spans="2:45" x14ac:dyDescent="0.2">
      <c r="B45" s="175"/>
      <c r="C45" s="515" t="s">
        <v>287</v>
      </c>
      <c r="D45" s="535" t="e">
        <f>IRR(D31:AR31,'Tariff Inputs'!H86)</f>
        <v>#NUM!</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row>
    <row r="46" spans="2:45" x14ac:dyDescent="0.2">
      <c r="B46" s="175"/>
      <c r="C46" s="539" t="s">
        <v>308</v>
      </c>
      <c r="D46" s="408">
        <f>COUNTIF(E47:AC47,"&lt;0")+INDEX(E48:AC48,,COUNTIF(E47:AC47,"&lt;0")+1)</f>
        <v>0</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409"/>
      <c r="AS46" s="175"/>
    </row>
    <row r="47" spans="2:45" x14ac:dyDescent="0.2">
      <c r="B47" s="175"/>
      <c r="C47" s="542" t="s">
        <v>307</v>
      </c>
      <c r="D47" s="377">
        <f>D28</f>
        <v>0</v>
      </c>
      <c r="E47" s="377">
        <f>IF(E5&lt;='Tariff Inputs'!$D17,D47+E28,0)</f>
        <v>0</v>
      </c>
      <c r="F47" s="377">
        <f>IF(F5&lt;='Tariff Inputs'!$D17,E47+F28,0)</f>
        <v>0</v>
      </c>
      <c r="G47" s="377">
        <f>IF(G5&lt;='Tariff Inputs'!$D17,F47+G28,0)</f>
        <v>0</v>
      </c>
      <c r="H47" s="377">
        <f>IF(H5&lt;='Tariff Inputs'!$D17,G47+H28,0)</f>
        <v>0</v>
      </c>
      <c r="I47" s="377">
        <f>IF(I5&lt;='Tariff Inputs'!$D17,H47+I28,0)</f>
        <v>0</v>
      </c>
      <c r="J47" s="377">
        <f>IF(J5&lt;='Tariff Inputs'!$D17,I47+J28,0)</f>
        <v>0</v>
      </c>
      <c r="K47" s="377">
        <f>IF(K5&lt;='Tariff Inputs'!$D17,J47+K28,0)</f>
        <v>0</v>
      </c>
      <c r="L47" s="377">
        <f>IF(L5&lt;='Tariff Inputs'!$D17,K47+L28,0)</f>
        <v>0</v>
      </c>
      <c r="M47" s="377">
        <f>IF(M5&lt;='Tariff Inputs'!$D17,L47+M28,0)</f>
        <v>0</v>
      </c>
      <c r="N47" s="377">
        <f>IF(N5&lt;='Tariff Inputs'!$D17,M47+N28,0)</f>
        <v>0</v>
      </c>
      <c r="O47" s="377">
        <f>IF(O5&lt;='Tariff Inputs'!$D17,N47+O28,0)</f>
        <v>0</v>
      </c>
      <c r="P47" s="377">
        <f>IF(P5&lt;='Tariff Inputs'!$D17,O47+P28,0)</f>
        <v>0</v>
      </c>
      <c r="Q47" s="377">
        <f>IF(Q5&lt;='Tariff Inputs'!$D17,P47+Q28,0)</f>
        <v>0</v>
      </c>
      <c r="R47" s="377">
        <f>IF(R5&lt;='Tariff Inputs'!$D17,Q47+R28,0)</f>
        <v>0</v>
      </c>
      <c r="S47" s="377">
        <f>IF(S5&lt;='Tariff Inputs'!$D17,R47+S28,0)</f>
        <v>0</v>
      </c>
      <c r="T47" s="377">
        <f>IF(T5&lt;='Tariff Inputs'!$D17,S47+T28,0)</f>
        <v>0</v>
      </c>
      <c r="U47" s="377">
        <f>IF(U5&lt;='Tariff Inputs'!$D17,T47+U28,0)</f>
        <v>0</v>
      </c>
      <c r="V47" s="377">
        <f>IF(V5&lt;='Tariff Inputs'!$D17,U47+V28,0)</f>
        <v>0</v>
      </c>
      <c r="W47" s="377">
        <f>IF(W5&lt;='Tariff Inputs'!$D17,V47+W28,0)</f>
        <v>0</v>
      </c>
      <c r="X47" s="377">
        <f>IF(X5&lt;='Tariff Inputs'!$D17,W47+X28,0)</f>
        <v>0</v>
      </c>
      <c r="Y47" s="377">
        <f>IF(Y5&lt;='Tariff Inputs'!$D17,X47+Y28,0)</f>
        <v>0</v>
      </c>
      <c r="Z47" s="377">
        <f>IF(Z5&lt;='Tariff Inputs'!$D17,Y47+Z28,0)</f>
        <v>0</v>
      </c>
      <c r="AA47" s="377">
        <f>IF(AA5&lt;='Tariff Inputs'!$D17,Z47+AA28,0)</f>
        <v>0</v>
      </c>
      <c r="AB47" s="377">
        <f>IF(AB5&lt;='Tariff Inputs'!$D17,AA47+AB28,0)</f>
        <v>0</v>
      </c>
      <c r="AC47" s="377">
        <f>IF(AC5&lt;='Tariff Inputs'!$D17,AB47+AC28,0)</f>
        <v>0</v>
      </c>
      <c r="AD47" s="377">
        <f>IF(AD5&lt;='Tariff Inputs'!$D17,AC47+AD28,0)</f>
        <v>0</v>
      </c>
      <c r="AE47" s="377">
        <f>IF(AE5&lt;='Tariff Inputs'!$D17,AD47+AE28,0)</f>
        <v>0</v>
      </c>
      <c r="AF47" s="377">
        <f>IF(AF5&lt;='Tariff Inputs'!$D17,AE47+AF28,0)</f>
        <v>0</v>
      </c>
      <c r="AG47" s="377">
        <f>IF(AG5&lt;='Tariff Inputs'!$D17,AF47+AG28,0)</f>
        <v>0</v>
      </c>
      <c r="AH47" s="377">
        <f>IF(AH5&lt;='Tariff Inputs'!$D17,AG47+AH28,0)</f>
        <v>0</v>
      </c>
      <c r="AI47" s="377">
        <f>IF(AI5&lt;='Tariff Inputs'!$D17,AH47+AI28,0)</f>
        <v>0</v>
      </c>
      <c r="AJ47" s="377">
        <f>IF(AJ5&lt;='Tariff Inputs'!$D17,AI47+AJ28,0)</f>
        <v>0</v>
      </c>
      <c r="AK47" s="377">
        <f>IF(AK5&lt;='Tariff Inputs'!$D17,AJ47+AK28,0)</f>
        <v>0</v>
      </c>
      <c r="AL47" s="377">
        <f>IF(AL5&lt;='Tariff Inputs'!$D17,AK47+AL28,0)</f>
        <v>0</v>
      </c>
      <c r="AM47" s="377">
        <f>IF(AM5&lt;='Tariff Inputs'!$D17,AL47+AM28,0)</f>
        <v>0</v>
      </c>
      <c r="AN47" s="377">
        <f>IF(AN5&lt;='Tariff Inputs'!$D17,AM47+AN28,0)</f>
        <v>0</v>
      </c>
      <c r="AO47" s="377">
        <f>IF(AO5&lt;='Tariff Inputs'!$D17,AN47+AO28,0)</f>
        <v>0</v>
      </c>
      <c r="AP47" s="377">
        <f>IF(AP5&lt;='Tariff Inputs'!$D17,AO47+AP28,0)</f>
        <v>0</v>
      </c>
      <c r="AQ47" s="377">
        <f>IF(AQ5&lt;='Tariff Inputs'!$D17,AP47+AQ28,0)</f>
        <v>0</v>
      </c>
      <c r="AR47" s="385">
        <f>IF(AR5&lt;='Tariff Inputs'!$D17,AQ47+AR28,0)</f>
        <v>0</v>
      </c>
      <c r="AS47" s="175"/>
    </row>
    <row r="48" spans="2:45" x14ac:dyDescent="0.2">
      <c r="B48" s="175"/>
      <c r="C48" s="543" t="s">
        <v>309</v>
      </c>
      <c r="D48" s="406"/>
      <c r="E48" s="410">
        <f t="shared" ref="E48:AR48" si="44">IF(E28&gt;0,IF(E47&lt;0,0,ABS(D47)/E28),0)</f>
        <v>0</v>
      </c>
      <c r="F48" s="410">
        <f t="shared" si="44"/>
        <v>0</v>
      </c>
      <c r="G48" s="410">
        <f t="shared" si="44"/>
        <v>0</v>
      </c>
      <c r="H48" s="410">
        <f t="shared" si="44"/>
        <v>0</v>
      </c>
      <c r="I48" s="410">
        <f t="shared" si="44"/>
        <v>0</v>
      </c>
      <c r="J48" s="410">
        <f t="shared" si="44"/>
        <v>0</v>
      </c>
      <c r="K48" s="410">
        <f t="shared" si="44"/>
        <v>0</v>
      </c>
      <c r="L48" s="410">
        <f t="shared" si="44"/>
        <v>0</v>
      </c>
      <c r="M48" s="410">
        <f t="shared" si="44"/>
        <v>0</v>
      </c>
      <c r="N48" s="410">
        <f t="shared" si="44"/>
        <v>0</v>
      </c>
      <c r="O48" s="410">
        <f t="shared" si="44"/>
        <v>0</v>
      </c>
      <c r="P48" s="410">
        <f t="shared" si="44"/>
        <v>0</v>
      </c>
      <c r="Q48" s="410">
        <f t="shared" si="44"/>
        <v>0</v>
      </c>
      <c r="R48" s="410">
        <f t="shared" si="44"/>
        <v>0</v>
      </c>
      <c r="S48" s="410">
        <f t="shared" si="44"/>
        <v>0</v>
      </c>
      <c r="T48" s="410">
        <f t="shared" si="44"/>
        <v>0</v>
      </c>
      <c r="U48" s="410">
        <f t="shared" si="44"/>
        <v>0</v>
      </c>
      <c r="V48" s="410">
        <f t="shared" si="44"/>
        <v>0</v>
      </c>
      <c r="W48" s="410">
        <f t="shared" si="44"/>
        <v>0</v>
      </c>
      <c r="X48" s="410">
        <f t="shared" si="44"/>
        <v>0</v>
      </c>
      <c r="Y48" s="410">
        <f t="shared" si="44"/>
        <v>0</v>
      </c>
      <c r="Z48" s="410">
        <f t="shared" si="44"/>
        <v>0</v>
      </c>
      <c r="AA48" s="410">
        <f t="shared" si="44"/>
        <v>0</v>
      </c>
      <c r="AB48" s="410">
        <f t="shared" si="44"/>
        <v>0</v>
      </c>
      <c r="AC48" s="410">
        <f t="shared" si="44"/>
        <v>0</v>
      </c>
      <c r="AD48" s="410">
        <f t="shared" si="44"/>
        <v>0</v>
      </c>
      <c r="AE48" s="410">
        <f t="shared" si="44"/>
        <v>0</v>
      </c>
      <c r="AF48" s="410">
        <f t="shared" si="44"/>
        <v>0</v>
      </c>
      <c r="AG48" s="410">
        <f t="shared" si="44"/>
        <v>0</v>
      </c>
      <c r="AH48" s="410">
        <f t="shared" si="44"/>
        <v>0</v>
      </c>
      <c r="AI48" s="410">
        <f t="shared" si="44"/>
        <v>0</v>
      </c>
      <c r="AJ48" s="410">
        <f t="shared" si="44"/>
        <v>0</v>
      </c>
      <c r="AK48" s="410">
        <f t="shared" si="44"/>
        <v>0</v>
      </c>
      <c r="AL48" s="410">
        <f t="shared" si="44"/>
        <v>0</v>
      </c>
      <c r="AM48" s="410">
        <f t="shared" si="44"/>
        <v>0</v>
      </c>
      <c r="AN48" s="410">
        <f t="shared" si="44"/>
        <v>0</v>
      </c>
      <c r="AO48" s="410">
        <f t="shared" si="44"/>
        <v>0</v>
      </c>
      <c r="AP48" s="410">
        <f t="shared" si="44"/>
        <v>0</v>
      </c>
      <c r="AQ48" s="410">
        <f t="shared" si="44"/>
        <v>0</v>
      </c>
      <c r="AR48" s="411">
        <f t="shared" si="44"/>
        <v>0</v>
      </c>
      <c r="AS48" s="175"/>
    </row>
    <row r="49" spans="2:45" x14ac:dyDescent="0.2">
      <c r="B49" s="175"/>
      <c r="C49" s="533"/>
      <c r="D49" s="377"/>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175"/>
    </row>
    <row r="50" spans="2:45" x14ac:dyDescent="0.2">
      <c r="B50" s="175"/>
      <c r="C50" s="54"/>
      <c r="D50" s="377"/>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175"/>
    </row>
    <row r="51" spans="2:45" x14ac:dyDescent="0.2">
      <c r="B51" s="175"/>
      <c r="C51" s="501" t="s">
        <v>533</v>
      </c>
      <c r="D51" s="377"/>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175"/>
    </row>
    <row r="52" spans="2:45" s="397" customFormat="1" x14ac:dyDescent="0.2">
      <c r="B52" s="413"/>
      <c r="C52" s="544" t="s">
        <v>347</v>
      </c>
      <c r="D52" s="414"/>
      <c r="E52" s="414" t="e">
        <f>IF(E5&lt;='Tariff Inputs'!$D17,E20/'Tariff Calculator'!E24,0)</f>
        <v>#DIV/0!</v>
      </c>
      <c r="F52" s="414" t="e">
        <f>IF(F5&lt;='Tariff Inputs'!$D17,F20/'Tariff Calculator'!F24,0)</f>
        <v>#DIV/0!</v>
      </c>
      <c r="G52" s="414" t="e">
        <f>IF(G5&lt;='Tariff Inputs'!$D17,G20/'Tariff Calculator'!G24,0)</f>
        <v>#DIV/0!</v>
      </c>
      <c r="H52" s="414" t="e">
        <f>IF(H5&lt;='Tariff Inputs'!$D17,H20/'Tariff Calculator'!H24,0)</f>
        <v>#DIV/0!</v>
      </c>
      <c r="I52" s="414" t="e">
        <f>IF(I5&lt;='Tariff Inputs'!$D17,I20/'Tariff Calculator'!I24,0)</f>
        <v>#DIV/0!</v>
      </c>
      <c r="J52" s="414" t="e">
        <f>IF(J5&lt;='Tariff Inputs'!$D17,J20/'Tariff Calculator'!J24,0)</f>
        <v>#DIV/0!</v>
      </c>
      <c r="K52" s="414" t="e">
        <f>IF(K5&lt;='Tariff Inputs'!$D17,K20/'Tariff Calculator'!K24,0)</f>
        <v>#DIV/0!</v>
      </c>
      <c r="L52" s="414" t="e">
        <f>IF(L5&lt;='Tariff Inputs'!$D17,L20/'Tariff Calculator'!L24,0)</f>
        <v>#DIV/0!</v>
      </c>
      <c r="M52" s="414" t="e">
        <f>IF(M5&lt;='Tariff Inputs'!$D17,M20/'Tariff Calculator'!M24,0)</f>
        <v>#DIV/0!</v>
      </c>
      <c r="N52" s="414" t="e">
        <f>IF(N5&lt;='Tariff Inputs'!$D17,N20/'Tariff Calculator'!N24,0)</f>
        <v>#DIV/0!</v>
      </c>
      <c r="O52" s="414" t="e">
        <f>IF(O5&lt;='Tariff Inputs'!$D17,O20/'Tariff Calculator'!O24,0)</f>
        <v>#DIV/0!</v>
      </c>
      <c r="P52" s="414" t="e">
        <f>IF(P5&lt;='Tariff Inputs'!$D17,P20/'Tariff Calculator'!P24,0)</f>
        <v>#DIV/0!</v>
      </c>
      <c r="Q52" s="414" t="e">
        <f>IF(Q5&lt;='Tariff Inputs'!$D17,Q20/'Tariff Calculator'!Q24,0)</f>
        <v>#DIV/0!</v>
      </c>
      <c r="R52" s="414" t="e">
        <f>IF(R5&lt;='Tariff Inputs'!$D17,R20/'Tariff Calculator'!R24,0)</f>
        <v>#DIV/0!</v>
      </c>
      <c r="S52" s="414" t="e">
        <f>IF(S5&lt;='Tariff Inputs'!$D17,S20/'Tariff Calculator'!S24,0)</f>
        <v>#DIV/0!</v>
      </c>
      <c r="T52" s="414" t="e">
        <f>IF(T5&lt;='Tariff Inputs'!$D17,T20/'Tariff Calculator'!T24,0)</f>
        <v>#DIV/0!</v>
      </c>
      <c r="U52" s="414" t="e">
        <f>IF(U5&lt;='Tariff Inputs'!$D17,U20/'Tariff Calculator'!U24,0)</f>
        <v>#DIV/0!</v>
      </c>
      <c r="V52" s="414" t="e">
        <f>IF(V5&lt;='Tariff Inputs'!$D17,V20/'Tariff Calculator'!V24,0)</f>
        <v>#DIV/0!</v>
      </c>
      <c r="W52" s="414" t="e">
        <f>IF(W5&lt;='Tariff Inputs'!$D17,W20/'Tariff Calculator'!W24,0)</f>
        <v>#DIV/0!</v>
      </c>
      <c r="X52" s="414" t="e">
        <f>IF(X5&lt;='Tariff Inputs'!$D17,X20/'Tariff Calculator'!X24,0)</f>
        <v>#DIV/0!</v>
      </c>
      <c r="Y52" s="414" t="e">
        <f>IF(Y5&lt;='Tariff Inputs'!$D17,Y20/'Tariff Calculator'!Y24,0)</f>
        <v>#DIV/0!</v>
      </c>
      <c r="Z52" s="414" t="e">
        <f>IF(Z5&lt;='Tariff Inputs'!$D17,Z20/'Tariff Calculator'!Z24,0)</f>
        <v>#DIV/0!</v>
      </c>
      <c r="AA52" s="414" t="e">
        <f>IF(AA5&lt;='Tariff Inputs'!$D17,AA20/'Tariff Calculator'!AA24,0)</f>
        <v>#DIV/0!</v>
      </c>
      <c r="AB52" s="414" t="e">
        <f>IF(AB5&lt;='Tariff Inputs'!$D17,AB20/'Tariff Calculator'!AB24,0)</f>
        <v>#DIV/0!</v>
      </c>
      <c r="AC52" s="414" t="e">
        <f>IF(AC5&lt;='Tariff Inputs'!$D17,AC20/'Tariff Calculator'!AC24,0)</f>
        <v>#DIV/0!</v>
      </c>
      <c r="AD52" s="414">
        <f>IF(AD5&lt;='Tariff Inputs'!$D17,AD20/'Tariff Calculator'!AD24,0)</f>
        <v>0</v>
      </c>
      <c r="AE52" s="414">
        <f>IF(AE5&lt;='Tariff Inputs'!$D17,AE20/'Tariff Calculator'!AE24,0)</f>
        <v>0</v>
      </c>
      <c r="AF52" s="414">
        <f>IF(AF5&lt;='Tariff Inputs'!$D17,AF20/'Tariff Calculator'!AF24,0)</f>
        <v>0</v>
      </c>
      <c r="AG52" s="414">
        <f>IF(AG5&lt;='Tariff Inputs'!$D17,AG20/'Tariff Calculator'!AG24,0)</f>
        <v>0</v>
      </c>
      <c r="AH52" s="414">
        <f>IF(AH5&lt;='Tariff Inputs'!$D17,AH20/'Tariff Calculator'!AH24,0)</f>
        <v>0</v>
      </c>
      <c r="AI52" s="414">
        <f>IF(AI5&lt;='Tariff Inputs'!$D17,AI20/'Tariff Calculator'!AI24,0)</f>
        <v>0</v>
      </c>
      <c r="AJ52" s="414">
        <f>IF(AJ5&lt;='Tariff Inputs'!$D17,AJ20/'Tariff Calculator'!AJ24,0)</f>
        <v>0</v>
      </c>
      <c r="AK52" s="414">
        <f>IF(AK5&lt;='Tariff Inputs'!$D17,AK20/'Tariff Calculator'!AK24,0)</f>
        <v>0</v>
      </c>
      <c r="AL52" s="414">
        <f>IF(AL5&lt;='Tariff Inputs'!$D17,AL20/'Tariff Calculator'!AL24,0)</f>
        <v>0</v>
      </c>
      <c r="AM52" s="414">
        <f>IF(AM5&lt;='Tariff Inputs'!$D17,AM20/'Tariff Calculator'!AM24,0)</f>
        <v>0</v>
      </c>
      <c r="AN52" s="414">
        <f>IF(AN5&lt;='Tariff Inputs'!$D17,AN20/'Tariff Calculator'!AN24,0)</f>
        <v>0</v>
      </c>
      <c r="AO52" s="414">
        <f>IF(AO5&lt;='Tariff Inputs'!$D17,AO20/'Tariff Calculator'!AO24,0)</f>
        <v>0</v>
      </c>
      <c r="AP52" s="414">
        <f>IF(AP5&lt;='Tariff Inputs'!$D17,AP20/'Tariff Calculator'!AP24,0)</f>
        <v>0</v>
      </c>
      <c r="AQ52" s="414">
        <f>IF(AQ5&lt;='Tariff Inputs'!$D17,AQ20/'Tariff Calculator'!AQ24,0)</f>
        <v>0</v>
      </c>
      <c r="AR52" s="415">
        <f>IF(AR5&lt;='Tariff Inputs'!$D17,AR20/'Tariff Calculator'!AR24,0)</f>
        <v>0</v>
      </c>
      <c r="AS52" s="413"/>
    </row>
    <row r="53" spans="2:45" s="397" customFormat="1" x14ac:dyDescent="0.2">
      <c r="B53" s="413"/>
      <c r="C53" s="545" t="s">
        <v>348</v>
      </c>
      <c r="D53" s="416"/>
      <c r="E53" s="416" t="e">
        <f>IF(E5&lt;='Tariff Inputs'!$D17,E22/((E94+F94)/2),0)</f>
        <v>#DIV/0!</v>
      </c>
      <c r="F53" s="416" t="e">
        <f>IF(F5&lt;='Tariff Inputs'!$D17,F22/((F94+G94)/2),0)</f>
        <v>#DIV/0!</v>
      </c>
      <c r="G53" s="416" t="e">
        <f>IF(G5&lt;='Tariff Inputs'!$D17,G22/((G94+H94)/2),0)</f>
        <v>#DIV/0!</v>
      </c>
      <c r="H53" s="416" t="e">
        <f>IF(H5&lt;='Tariff Inputs'!$D17,H22/((H94+I94)/2),0)</f>
        <v>#DIV/0!</v>
      </c>
      <c r="I53" s="416" t="e">
        <f>IF(I5&lt;='Tariff Inputs'!$D17,I22/((I94+J94)/2),0)</f>
        <v>#DIV/0!</v>
      </c>
      <c r="J53" s="416" t="e">
        <f>IF(J5&lt;='Tariff Inputs'!$D17,J22/((J94+K94)/2),0)</f>
        <v>#DIV/0!</v>
      </c>
      <c r="K53" s="416" t="e">
        <f>IF(K5&lt;='Tariff Inputs'!$D17,K22/((K94+L94)/2),0)</f>
        <v>#DIV/0!</v>
      </c>
      <c r="L53" s="416" t="e">
        <f>IF(L5&lt;='Tariff Inputs'!$D17,L22/((L94+M94)/2),0)</f>
        <v>#DIV/0!</v>
      </c>
      <c r="M53" s="416" t="e">
        <f>IF(M5&lt;='Tariff Inputs'!$D17,M22/((M94+N94)/2),0)</f>
        <v>#DIV/0!</v>
      </c>
      <c r="N53" s="416" t="e">
        <f>IF(N5&lt;='Tariff Inputs'!$D17,N22/((N94+O94)/2),0)</f>
        <v>#DIV/0!</v>
      </c>
      <c r="O53" s="416" t="e">
        <f>IF(O5&lt;='Tariff Inputs'!$D17,O22/((O94+P94)/2),0)</f>
        <v>#DIV/0!</v>
      </c>
      <c r="P53" s="416" t="e">
        <f>IF(P5&lt;='Tariff Inputs'!$D17,P22/((P94+Q94)/2),0)</f>
        <v>#DIV/0!</v>
      </c>
      <c r="Q53" s="416" t="e">
        <f>IF(Q5&lt;='Tariff Inputs'!$D17,Q22/((Q94+R94)/2),0)</f>
        <v>#DIV/0!</v>
      </c>
      <c r="R53" s="416" t="e">
        <f>IF(R5&lt;='Tariff Inputs'!$D17,R22/((R94+S94)/2),0)</f>
        <v>#DIV/0!</v>
      </c>
      <c r="S53" s="416" t="e">
        <f>IF(S5&lt;='Tariff Inputs'!$D17,S22/((S94+T94)/2),0)</f>
        <v>#DIV/0!</v>
      </c>
      <c r="T53" s="416" t="e">
        <f>IF(T5&lt;='Tariff Inputs'!$D17,T22/((T94+U94)/2),0)</f>
        <v>#DIV/0!</v>
      </c>
      <c r="U53" s="416" t="e">
        <f>IF(U5&lt;='Tariff Inputs'!$D17,U22/((U94+V94)/2),0)</f>
        <v>#DIV/0!</v>
      </c>
      <c r="V53" s="416" t="e">
        <f>IF(V5&lt;='Tariff Inputs'!$D17,V22/((V94+W94)/2),0)</f>
        <v>#DIV/0!</v>
      </c>
      <c r="W53" s="416" t="e">
        <f>IF(W5&lt;='Tariff Inputs'!$D17,W22/((W94+X94)/2),0)</f>
        <v>#DIV/0!</v>
      </c>
      <c r="X53" s="416" t="e">
        <f>IF(X5&lt;='Tariff Inputs'!$D17,X22/((X94+Y94)/2),0)</f>
        <v>#DIV/0!</v>
      </c>
      <c r="Y53" s="416" t="e">
        <f>IF(Y5&lt;='Tariff Inputs'!$D17,Y22/((Y94+Z94)/2),0)</f>
        <v>#DIV/0!</v>
      </c>
      <c r="Z53" s="416" t="e">
        <f>IF(Z5&lt;='Tariff Inputs'!$D17,Z22/((Z94+AA94)/2),0)</f>
        <v>#DIV/0!</v>
      </c>
      <c r="AA53" s="416" t="e">
        <f>IF(AA5&lt;='Tariff Inputs'!$D17,AA22/((AA94+AB94)/2),0)</f>
        <v>#DIV/0!</v>
      </c>
      <c r="AB53" s="416" t="e">
        <f>IF(AB5&lt;='Tariff Inputs'!$D17,AB22/((AB94+AC94)/2),0)</f>
        <v>#DIV/0!</v>
      </c>
      <c r="AC53" s="416" t="e">
        <f>IF(AC5&lt;='Tariff Inputs'!$D17,AC22/((AC94+AD94)/2),0)</f>
        <v>#DIV/0!</v>
      </c>
      <c r="AD53" s="416">
        <f>IF(AD5&lt;='Tariff Inputs'!$D17,AD22/((AD94+AE94)/2),0)</f>
        <v>0</v>
      </c>
      <c r="AE53" s="416">
        <f>IF(AE5&lt;='Tariff Inputs'!$D17,AE22/((AE94+AF94)/2),0)</f>
        <v>0</v>
      </c>
      <c r="AF53" s="416">
        <f>IF(AF5&lt;='Tariff Inputs'!$D17,AF22/((AF94+AG94)/2),0)</f>
        <v>0</v>
      </c>
      <c r="AG53" s="416">
        <f>IF(AG5&lt;='Tariff Inputs'!$D17,AG22/((AG94+AH94)/2),0)</f>
        <v>0</v>
      </c>
      <c r="AH53" s="416">
        <f>IF(AH5&lt;='Tariff Inputs'!$D17,AH22/((AH94+AI94)/2),0)</f>
        <v>0</v>
      </c>
      <c r="AI53" s="416">
        <f>IF(AI5&lt;='Tariff Inputs'!$D17,AI22/((AI94+AJ94)/2),0)</f>
        <v>0</v>
      </c>
      <c r="AJ53" s="416">
        <f>IF(AJ5&lt;='Tariff Inputs'!$D17,AJ22/((AJ94+AK94)/2),0)</f>
        <v>0</v>
      </c>
      <c r="AK53" s="416">
        <f>IF(AK5&lt;='Tariff Inputs'!$D17,AK22/((AK94+AL94)/2),0)</f>
        <v>0</v>
      </c>
      <c r="AL53" s="416">
        <f>IF(AL5&lt;='Tariff Inputs'!$D17,AL22/((AL94+AM94)/2),0)</f>
        <v>0</v>
      </c>
      <c r="AM53" s="416">
        <f>IF(AM5&lt;='Tariff Inputs'!$D17,AM22/((AM94+AN94)/2),0)</f>
        <v>0</v>
      </c>
      <c r="AN53" s="416">
        <f>IF(AN5&lt;='Tariff Inputs'!$D17,AN22/((AN94+AO94)/2),0)</f>
        <v>0</v>
      </c>
      <c r="AO53" s="416">
        <f>IF(AO5&lt;='Tariff Inputs'!$D17,AO22/((AO94+AP94)/2),0)</f>
        <v>0</v>
      </c>
      <c r="AP53" s="416">
        <f>IF(AP5&lt;='Tariff Inputs'!$D17,AP22/((AP94+AQ94)/2),0)</f>
        <v>0</v>
      </c>
      <c r="AQ53" s="416">
        <f>IF(AQ5&lt;='Tariff Inputs'!$D17,AQ22/((AQ94+AR94)/2),0)</f>
        <v>0</v>
      </c>
      <c r="AR53" s="417">
        <f>IF(AR5&lt;='Tariff Inputs'!$D17,AR22/((AR94+AS94)/2),0)</f>
        <v>0</v>
      </c>
      <c r="AS53" s="413"/>
    </row>
    <row r="54" spans="2:45" x14ac:dyDescent="0.2">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row>
    <row r="55" spans="2:45" x14ac:dyDescent="0.2">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row>
    <row r="56" spans="2:45" x14ac:dyDescent="0.2">
      <c r="B56" s="175"/>
      <c r="C56" s="501" t="s">
        <v>534</v>
      </c>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row>
    <row r="57" spans="2:45" x14ac:dyDescent="0.2">
      <c r="B57" s="175"/>
      <c r="C57" s="546" t="s">
        <v>310</v>
      </c>
      <c r="D57" s="108"/>
      <c r="E57" s="400">
        <f t="shared" ref="E57:AR57" si="45">IF(E59&gt;0,E58/E59,0)</f>
        <v>0</v>
      </c>
      <c r="F57" s="400">
        <f t="shared" si="45"/>
        <v>0</v>
      </c>
      <c r="G57" s="400">
        <f t="shared" si="45"/>
        <v>0</v>
      </c>
      <c r="H57" s="400">
        <f t="shared" si="45"/>
        <v>0</v>
      </c>
      <c r="I57" s="400">
        <f t="shared" si="45"/>
        <v>0</v>
      </c>
      <c r="J57" s="400">
        <f t="shared" si="45"/>
        <v>0</v>
      </c>
      <c r="K57" s="400">
        <f t="shared" si="45"/>
        <v>0</v>
      </c>
      <c r="L57" s="400">
        <f t="shared" si="45"/>
        <v>0</v>
      </c>
      <c r="M57" s="400">
        <f t="shared" si="45"/>
        <v>0</v>
      </c>
      <c r="N57" s="400">
        <f t="shared" si="45"/>
        <v>0</v>
      </c>
      <c r="O57" s="400">
        <f t="shared" si="45"/>
        <v>0</v>
      </c>
      <c r="P57" s="400">
        <f t="shared" si="45"/>
        <v>0</v>
      </c>
      <c r="Q57" s="400">
        <f t="shared" si="45"/>
        <v>0</v>
      </c>
      <c r="R57" s="400">
        <f t="shared" si="45"/>
        <v>0</v>
      </c>
      <c r="S57" s="400">
        <f t="shared" si="45"/>
        <v>0</v>
      </c>
      <c r="T57" s="400">
        <f t="shared" si="45"/>
        <v>0</v>
      </c>
      <c r="U57" s="400">
        <f t="shared" si="45"/>
        <v>0</v>
      </c>
      <c r="V57" s="400">
        <f t="shared" si="45"/>
        <v>0</v>
      </c>
      <c r="W57" s="400">
        <f t="shared" si="45"/>
        <v>0</v>
      </c>
      <c r="X57" s="400">
        <f t="shared" si="45"/>
        <v>0</v>
      </c>
      <c r="Y57" s="400">
        <f t="shared" si="45"/>
        <v>0</v>
      </c>
      <c r="Z57" s="400">
        <f t="shared" si="45"/>
        <v>0</v>
      </c>
      <c r="AA57" s="400">
        <f t="shared" si="45"/>
        <v>0</v>
      </c>
      <c r="AB57" s="400">
        <f t="shared" si="45"/>
        <v>0</v>
      </c>
      <c r="AC57" s="400">
        <f t="shared" si="45"/>
        <v>0</v>
      </c>
      <c r="AD57" s="400">
        <f t="shared" si="45"/>
        <v>0</v>
      </c>
      <c r="AE57" s="400">
        <f t="shared" si="45"/>
        <v>0</v>
      </c>
      <c r="AF57" s="400">
        <f t="shared" si="45"/>
        <v>0</v>
      </c>
      <c r="AG57" s="400">
        <f t="shared" si="45"/>
        <v>0</v>
      </c>
      <c r="AH57" s="400">
        <f t="shared" si="45"/>
        <v>0</v>
      </c>
      <c r="AI57" s="400">
        <f t="shared" si="45"/>
        <v>0</v>
      </c>
      <c r="AJ57" s="400">
        <f t="shared" si="45"/>
        <v>0</v>
      </c>
      <c r="AK57" s="400">
        <f t="shared" si="45"/>
        <v>0</v>
      </c>
      <c r="AL57" s="400">
        <f t="shared" si="45"/>
        <v>0</v>
      </c>
      <c r="AM57" s="400">
        <f t="shared" si="45"/>
        <v>0</v>
      </c>
      <c r="AN57" s="400">
        <f t="shared" si="45"/>
        <v>0</v>
      </c>
      <c r="AO57" s="400">
        <f t="shared" si="45"/>
        <v>0</v>
      </c>
      <c r="AP57" s="400">
        <f t="shared" si="45"/>
        <v>0</v>
      </c>
      <c r="AQ57" s="400">
        <f t="shared" si="45"/>
        <v>0</v>
      </c>
      <c r="AR57" s="418">
        <f t="shared" si="45"/>
        <v>0</v>
      </c>
      <c r="AS57" s="175"/>
    </row>
    <row r="58" spans="2:45" x14ac:dyDescent="0.2">
      <c r="B58" s="175"/>
      <c r="C58" s="176" t="s">
        <v>315</v>
      </c>
      <c r="D58" s="419"/>
      <c r="E58" s="377">
        <f t="shared" ref="E58:AR58" si="46">-(E15+E13)</f>
        <v>0</v>
      </c>
      <c r="F58" s="377">
        <f t="shared" si="46"/>
        <v>0</v>
      </c>
      <c r="G58" s="377">
        <f t="shared" si="46"/>
        <v>0</v>
      </c>
      <c r="H58" s="377">
        <f t="shared" si="46"/>
        <v>0</v>
      </c>
      <c r="I58" s="377">
        <f t="shared" si="46"/>
        <v>0</v>
      </c>
      <c r="J58" s="377">
        <f t="shared" si="46"/>
        <v>0</v>
      </c>
      <c r="K58" s="377">
        <f t="shared" si="46"/>
        <v>0</v>
      </c>
      <c r="L58" s="377">
        <f t="shared" si="46"/>
        <v>0</v>
      </c>
      <c r="M58" s="377">
        <f t="shared" si="46"/>
        <v>0</v>
      </c>
      <c r="N58" s="377">
        <f t="shared" si="46"/>
        <v>0</v>
      </c>
      <c r="O58" s="377">
        <f t="shared" si="46"/>
        <v>0</v>
      </c>
      <c r="P58" s="377">
        <f t="shared" si="46"/>
        <v>0</v>
      </c>
      <c r="Q58" s="377">
        <f t="shared" si="46"/>
        <v>0</v>
      </c>
      <c r="R58" s="377">
        <f t="shared" si="46"/>
        <v>0</v>
      </c>
      <c r="S58" s="377">
        <f t="shared" si="46"/>
        <v>0</v>
      </c>
      <c r="T58" s="377">
        <f t="shared" si="46"/>
        <v>0</v>
      </c>
      <c r="U58" s="377">
        <f t="shared" si="46"/>
        <v>0</v>
      </c>
      <c r="V58" s="377">
        <f t="shared" si="46"/>
        <v>0</v>
      </c>
      <c r="W58" s="377">
        <f t="shared" si="46"/>
        <v>0</v>
      </c>
      <c r="X58" s="377">
        <f t="shared" si="46"/>
        <v>0</v>
      </c>
      <c r="Y58" s="377">
        <f t="shared" si="46"/>
        <v>0</v>
      </c>
      <c r="Z58" s="377">
        <f t="shared" si="46"/>
        <v>0</v>
      </c>
      <c r="AA58" s="377">
        <f t="shared" si="46"/>
        <v>0</v>
      </c>
      <c r="AB58" s="377">
        <f t="shared" si="46"/>
        <v>0</v>
      </c>
      <c r="AC58" s="377">
        <f t="shared" si="46"/>
        <v>0</v>
      </c>
      <c r="AD58" s="377">
        <f t="shared" si="46"/>
        <v>0</v>
      </c>
      <c r="AE58" s="377">
        <f t="shared" si="46"/>
        <v>0</v>
      </c>
      <c r="AF58" s="377">
        <f t="shared" si="46"/>
        <v>0</v>
      </c>
      <c r="AG58" s="377">
        <f t="shared" si="46"/>
        <v>0</v>
      </c>
      <c r="AH58" s="377">
        <f t="shared" si="46"/>
        <v>0</v>
      </c>
      <c r="AI58" s="377">
        <f t="shared" si="46"/>
        <v>0</v>
      </c>
      <c r="AJ58" s="377">
        <f t="shared" si="46"/>
        <v>0</v>
      </c>
      <c r="AK58" s="377">
        <f t="shared" si="46"/>
        <v>0</v>
      </c>
      <c r="AL58" s="377">
        <f t="shared" si="46"/>
        <v>0</v>
      </c>
      <c r="AM58" s="377">
        <f t="shared" si="46"/>
        <v>0</v>
      </c>
      <c r="AN58" s="377">
        <f t="shared" si="46"/>
        <v>0</v>
      </c>
      <c r="AO58" s="377">
        <f t="shared" si="46"/>
        <v>0</v>
      </c>
      <c r="AP58" s="377">
        <f t="shared" si="46"/>
        <v>0</v>
      </c>
      <c r="AQ58" s="377">
        <f t="shared" si="46"/>
        <v>0</v>
      </c>
      <c r="AR58" s="385">
        <f t="shared" si="46"/>
        <v>0</v>
      </c>
      <c r="AS58" s="175"/>
    </row>
    <row r="59" spans="2:45" x14ac:dyDescent="0.2">
      <c r="B59" s="175"/>
      <c r="C59" s="238" t="s">
        <v>314</v>
      </c>
      <c r="D59" s="420"/>
      <c r="E59" s="421">
        <f>IF('Tariff Calculator'!E10&gt;0,E12/'Tariff Calculator'!E10,0)</f>
        <v>0</v>
      </c>
      <c r="F59" s="421">
        <f>IF('Tariff Calculator'!F10&gt;0,F12/'Tariff Calculator'!F10,0)</f>
        <v>0</v>
      </c>
      <c r="G59" s="421">
        <f>IF('Tariff Calculator'!G10&gt;0,G12/'Tariff Calculator'!G10,0)</f>
        <v>0</v>
      </c>
      <c r="H59" s="421">
        <f>IF('Tariff Calculator'!H10&gt;0,H12/'Tariff Calculator'!H10,0)</f>
        <v>0</v>
      </c>
      <c r="I59" s="421">
        <f>IF('Tariff Calculator'!I10&gt;0,I12/'Tariff Calculator'!I10,0)</f>
        <v>0</v>
      </c>
      <c r="J59" s="421">
        <f>IF('Tariff Calculator'!J10&gt;0,J12/'Tariff Calculator'!J10,0)</f>
        <v>0</v>
      </c>
      <c r="K59" s="421">
        <f>IF('Tariff Calculator'!K10&gt;0,K12/'Tariff Calculator'!K10,0)</f>
        <v>0</v>
      </c>
      <c r="L59" s="421">
        <f>IF('Tariff Calculator'!L10&gt;0,L12/'Tariff Calculator'!L10,0)</f>
        <v>0</v>
      </c>
      <c r="M59" s="421">
        <f>IF('Tariff Calculator'!M10&gt;0,M12/'Tariff Calculator'!M10,0)</f>
        <v>0</v>
      </c>
      <c r="N59" s="421">
        <f>IF('Tariff Calculator'!N10&gt;0,N12/'Tariff Calculator'!N10,0)</f>
        <v>0</v>
      </c>
      <c r="O59" s="421">
        <f>IF('Tariff Calculator'!O10&gt;0,O12/'Tariff Calculator'!O10,0)</f>
        <v>0</v>
      </c>
      <c r="P59" s="421">
        <f>IF('Tariff Calculator'!P10&gt;0,P12/'Tariff Calculator'!P10,0)</f>
        <v>0</v>
      </c>
      <c r="Q59" s="421">
        <f>IF('Tariff Calculator'!Q10&gt;0,Q12/'Tariff Calculator'!Q10,0)</f>
        <v>0</v>
      </c>
      <c r="R59" s="421">
        <f>IF('Tariff Calculator'!R10&gt;0,R12/'Tariff Calculator'!R10,0)</f>
        <v>0</v>
      </c>
      <c r="S59" s="421">
        <f>IF('Tariff Calculator'!S10&gt;0,S12/'Tariff Calculator'!S10,0)</f>
        <v>0</v>
      </c>
      <c r="T59" s="421">
        <f>IF('Tariff Calculator'!T10&gt;0,T12/'Tariff Calculator'!T10,0)</f>
        <v>0</v>
      </c>
      <c r="U59" s="421">
        <f>IF('Tariff Calculator'!U10&gt;0,U12/'Tariff Calculator'!U10,0)</f>
        <v>0</v>
      </c>
      <c r="V59" s="421">
        <f>IF('Tariff Calculator'!V10&gt;0,V12/'Tariff Calculator'!V10,0)</f>
        <v>0</v>
      </c>
      <c r="W59" s="421">
        <f>IF('Tariff Calculator'!W10&gt;0,W12/'Tariff Calculator'!W10,0)</f>
        <v>0</v>
      </c>
      <c r="X59" s="421">
        <f>IF('Tariff Calculator'!X10&gt;0,X12/'Tariff Calculator'!X10,0)</f>
        <v>0</v>
      </c>
      <c r="Y59" s="421">
        <f>IF('Tariff Calculator'!Y10&gt;0,Y12/'Tariff Calculator'!Y10,0)</f>
        <v>0</v>
      </c>
      <c r="Z59" s="421">
        <f>IF('Tariff Calculator'!Z10&gt;0,Z12/'Tariff Calculator'!Z10,0)</f>
        <v>0</v>
      </c>
      <c r="AA59" s="421">
        <f>IF('Tariff Calculator'!AA10&gt;0,AA12/'Tariff Calculator'!AA10,0)</f>
        <v>0</v>
      </c>
      <c r="AB59" s="421">
        <f>IF('Tariff Calculator'!AB10&gt;0,AB12/'Tariff Calculator'!AB10,0)</f>
        <v>0</v>
      </c>
      <c r="AC59" s="421">
        <f>IF('Tariff Calculator'!AC10&gt;0,AC12/'Tariff Calculator'!AC10,0)</f>
        <v>0</v>
      </c>
      <c r="AD59" s="421">
        <f>IF('Tariff Calculator'!AD10&gt;0,AD12/'Tariff Calculator'!AD10,0)</f>
        <v>0</v>
      </c>
      <c r="AE59" s="421">
        <f>IF('Tariff Calculator'!AE10&gt;0,AE12/'Tariff Calculator'!AE10,0)</f>
        <v>0</v>
      </c>
      <c r="AF59" s="421">
        <f>IF('Tariff Calculator'!AF10&gt;0,AF12/'Tariff Calculator'!AF10,0)</f>
        <v>0</v>
      </c>
      <c r="AG59" s="421">
        <f>IF('Tariff Calculator'!AG10&gt;0,AG12/'Tariff Calculator'!AG10,0)</f>
        <v>0</v>
      </c>
      <c r="AH59" s="421">
        <f>IF('Tariff Calculator'!AH10&gt;0,AH12/'Tariff Calculator'!AH10,0)</f>
        <v>0</v>
      </c>
      <c r="AI59" s="421">
        <f>IF('Tariff Calculator'!AI10&gt;0,AI12/'Tariff Calculator'!AI10,0)</f>
        <v>0</v>
      </c>
      <c r="AJ59" s="421">
        <f>IF('Tariff Calculator'!AJ10&gt;0,AJ12/'Tariff Calculator'!AJ10,0)</f>
        <v>0</v>
      </c>
      <c r="AK59" s="421">
        <f>IF('Tariff Calculator'!AK10&gt;0,AK12/'Tariff Calculator'!AK10,0)</f>
        <v>0</v>
      </c>
      <c r="AL59" s="421">
        <f>IF('Tariff Calculator'!AL10&gt;0,AL12/'Tariff Calculator'!AL10,0)</f>
        <v>0</v>
      </c>
      <c r="AM59" s="421">
        <f>IF('Tariff Calculator'!AM10&gt;0,AM12/'Tariff Calculator'!AM10,0)</f>
        <v>0</v>
      </c>
      <c r="AN59" s="421">
        <f>IF('Tariff Calculator'!AN10&gt;0,AN12/'Tariff Calculator'!AN10,0)</f>
        <v>0</v>
      </c>
      <c r="AO59" s="421">
        <f>IF('Tariff Calculator'!AO10&gt;0,AO12/'Tariff Calculator'!AO10,0)</f>
        <v>0</v>
      </c>
      <c r="AP59" s="421">
        <f>IF('Tariff Calculator'!AP10&gt;0,AP12/'Tariff Calculator'!AP10,0)</f>
        <v>0</v>
      </c>
      <c r="AQ59" s="421">
        <f>IF('Tariff Calculator'!AQ10&gt;0,AQ12/'Tariff Calculator'!AQ10,0)</f>
        <v>0</v>
      </c>
      <c r="AR59" s="422">
        <f>IF('Tariff Calculator'!AR10&gt;0,AR12/'Tariff Calculator'!AR10,0)</f>
        <v>0</v>
      </c>
      <c r="AS59" s="175"/>
    </row>
    <row r="60" spans="2:45" x14ac:dyDescent="0.2">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row>
    <row r="61" spans="2:45" x14ac:dyDescent="0.2">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row>
    <row r="62" spans="2:45" x14ac:dyDescent="0.2">
      <c r="B62" s="175"/>
      <c r="C62" s="501" t="s">
        <v>326</v>
      </c>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row>
    <row r="63" spans="2:45" s="398" customFormat="1" x14ac:dyDescent="0.2">
      <c r="B63" s="423"/>
      <c r="C63" s="547" t="s">
        <v>319</v>
      </c>
      <c r="D63" s="424"/>
      <c r="E63" s="424">
        <f>'Tariff Inputs'!E85</f>
        <v>0.7</v>
      </c>
      <c r="F63" s="424" t="e">
        <f>'Loan Repayment'!E21/('Loan Repayment'!E21+Financials!E94)</f>
        <v>#DIV/0!</v>
      </c>
      <c r="G63" s="424" t="e">
        <f>'Loan Repayment'!F21/('Loan Repayment'!F21+Financials!F94)</f>
        <v>#DIV/0!</v>
      </c>
      <c r="H63" s="424" t="e">
        <f>'Loan Repayment'!G21/('Loan Repayment'!G21+Financials!G94)</f>
        <v>#DIV/0!</v>
      </c>
      <c r="I63" s="424" t="e">
        <f>'Loan Repayment'!H21/('Loan Repayment'!H21+Financials!H94)</f>
        <v>#DIV/0!</v>
      </c>
      <c r="J63" s="424" t="e">
        <f>'Loan Repayment'!I21/('Loan Repayment'!I21+Financials!I94)</f>
        <v>#DIV/0!</v>
      </c>
      <c r="K63" s="424" t="e">
        <f>'Loan Repayment'!J21/('Loan Repayment'!J21+Financials!J94)</f>
        <v>#DIV/0!</v>
      </c>
      <c r="L63" s="424" t="e">
        <f>'Loan Repayment'!K21/('Loan Repayment'!K21+Financials!K94)</f>
        <v>#DIV/0!</v>
      </c>
      <c r="M63" s="424" t="e">
        <f>'Loan Repayment'!L21/('Loan Repayment'!L21+Financials!L94)</f>
        <v>#DIV/0!</v>
      </c>
      <c r="N63" s="424" t="e">
        <f>'Loan Repayment'!M21/('Loan Repayment'!M21+Financials!M94)</f>
        <v>#DIV/0!</v>
      </c>
      <c r="O63" s="424" t="e">
        <f>'Loan Repayment'!N21/('Loan Repayment'!N21+Financials!N94)</f>
        <v>#DIV/0!</v>
      </c>
      <c r="P63" s="424" t="e">
        <f>'Loan Repayment'!O21/('Loan Repayment'!O21+Financials!O94)</f>
        <v>#DIV/0!</v>
      </c>
      <c r="Q63" s="424" t="e">
        <f>'Loan Repayment'!P21/('Loan Repayment'!P21+Financials!P94)</f>
        <v>#DIV/0!</v>
      </c>
      <c r="R63" s="424" t="e">
        <f>'Loan Repayment'!Q21/('Loan Repayment'!Q21+Financials!Q94)</f>
        <v>#DIV/0!</v>
      </c>
      <c r="S63" s="424" t="e">
        <f>'Loan Repayment'!R21/('Loan Repayment'!R21+Financials!R94)</f>
        <v>#DIV/0!</v>
      </c>
      <c r="T63" s="424" t="e">
        <f>'Loan Repayment'!S21/('Loan Repayment'!S21+Financials!S94)</f>
        <v>#DIV/0!</v>
      </c>
      <c r="U63" s="424" t="e">
        <f>'Loan Repayment'!T21/('Loan Repayment'!T21+Financials!T94)</f>
        <v>#DIV/0!</v>
      </c>
      <c r="V63" s="424" t="e">
        <f>'Loan Repayment'!U21/('Loan Repayment'!U21+Financials!U94)</f>
        <v>#DIV/0!</v>
      </c>
      <c r="W63" s="424" t="e">
        <f>'Loan Repayment'!V21/('Loan Repayment'!V21+Financials!V94)</f>
        <v>#DIV/0!</v>
      </c>
      <c r="X63" s="424" t="e">
        <f>'Loan Repayment'!W21/('Loan Repayment'!W21+Financials!W94)</f>
        <v>#DIV/0!</v>
      </c>
      <c r="Y63" s="424" t="e">
        <f>'Loan Repayment'!X21/('Loan Repayment'!X21+Financials!X94)</f>
        <v>#DIV/0!</v>
      </c>
      <c r="Z63" s="424" t="e">
        <f>'Loan Repayment'!Y21/('Loan Repayment'!Y21+Financials!Y94)</f>
        <v>#DIV/0!</v>
      </c>
      <c r="AA63" s="424" t="e">
        <f>'Loan Repayment'!Z21/('Loan Repayment'!Z21+Financials!Z94)</f>
        <v>#DIV/0!</v>
      </c>
      <c r="AB63" s="424" t="e">
        <f>'Loan Repayment'!AA21/('Loan Repayment'!AA21+Financials!AA94)</f>
        <v>#DIV/0!</v>
      </c>
      <c r="AC63" s="424" t="e">
        <f>'Loan Repayment'!AB21/('Loan Repayment'!AB21+Financials!AB94)</f>
        <v>#DIV/0!</v>
      </c>
      <c r="AD63" s="424" t="e">
        <f>'Loan Repayment'!AC21/('Loan Repayment'!AC21+Financials!AC94)</f>
        <v>#DIV/0!</v>
      </c>
      <c r="AE63" s="424" t="e">
        <f>'Loan Repayment'!AD21/('Loan Repayment'!AD21+Financials!AD94)</f>
        <v>#DIV/0!</v>
      </c>
      <c r="AF63" s="424" t="e">
        <f>'Loan Repayment'!AE21/('Loan Repayment'!AE21+Financials!AE94)</f>
        <v>#DIV/0!</v>
      </c>
      <c r="AG63" s="424" t="e">
        <f>'Loan Repayment'!AF21/('Loan Repayment'!AF21+Financials!AF94)</f>
        <v>#DIV/0!</v>
      </c>
      <c r="AH63" s="424" t="e">
        <f>'Loan Repayment'!AG21/('Loan Repayment'!AG21+Financials!AG94)</f>
        <v>#DIV/0!</v>
      </c>
      <c r="AI63" s="424" t="e">
        <f>'Loan Repayment'!AH21/('Loan Repayment'!AH21+Financials!AH94)</f>
        <v>#DIV/0!</v>
      </c>
      <c r="AJ63" s="424" t="e">
        <f>'Loan Repayment'!AI21/('Loan Repayment'!AI21+Financials!AI94)</f>
        <v>#DIV/0!</v>
      </c>
      <c r="AK63" s="424" t="e">
        <f>'Loan Repayment'!AJ21/('Loan Repayment'!AJ21+Financials!AJ94)</f>
        <v>#DIV/0!</v>
      </c>
      <c r="AL63" s="424" t="e">
        <f>'Loan Repayment'!AK21/('Loan Repayment'!AK21+Financials!AK94)</f>
        <v>#DIV/0!</v>
      </c>
      <c r="AM63" s="424" t="e">
        <f>'Loan Repayment'!AL21/('Loan Repayment'!AL21+Financials!AL94)</f>
        <v>#DIV/0!</v>
      </c>
      <c r="AN63" s="424" t="e">
        <f>'Loan Repayment'!AM21/('Loan Repayment'!AM21+Financials!AM94)</f>
        <v>#DIV/0!</v>
      </c>
      <c r="AO63" s="424" t="e">
        <f>'Loan Repayment'!AN21/('Loan Repayment'!AN21+Financials!AN94)</f>
        <v>#DIV/0!</v>
      </c>
      <c r="AP63" s="424" t="e">
        <f>'Loan Repayment'!AO21/('Loan Repayment'!AO21+Financials!AO94)</f>
        <v>#DIV/0!</v>
      </c>
      <c r="AQ63" s="424" t="e">
        <f>'Loan Repayment'!AP21/('Loan Repayment'!AP21+Financials!AP94)</f>
        <v>#DIV/0!</v>
      </c>
      <c r="AR63" s="425" t="e">
        <f>'Loan Repayment'!AQ21/('Loan Repayment'!AQ21+Financials!AQ94)</f>
        <v>#DIV/0!</v>
      </c>
      <c r="AS63" s="423"/>
    </row>
    <row r="64" spans="2:45" s="398" customFormat="1" x14ac:dyDescent="0.2">
      <c r="B64" s="423"/>
      <c r="C64" s="548" t="s">
        <v>320</v>
      </c>
      <c r="D64" s="424"/>
      <c r="E64" s="424">
        <f>1-E63</f>
        <v>0.30000000000000004</v>
      </c>
      <c r="F64" s="424" t="e">
        <f>1-F63</f>
        <v>#DIV/0!</v>
      </c>
      <c r="G64" s="424" t="e">
        <f t="shared" ref="G64:AR64" si="47">1-G63</f>
        <v>#DIV/0!</v>
      </c>
      <c r="H64" s="424" t="e">
        <f t="shared" si="47"/>
        <v>#DIV/0!</v>
      </c>
      <c r="I64" s="424" t="e">
        <f t="shared" si="47"/>
        <v>#DIV/0!</v>
      </c>
      <c r="J64" s="424" t="e">
        <f t="shared" si="47"/>
        <v>#DIV/0!</v>
      </c>
      <c r="K64" s="424" t="e">
        <f t="shared" si="47"/>
        <v>#DIV/0!</v>
      </c>
      <c r="L64" s="424" t="e">
        <f t="shared" si="47"/>
        <v>#DIV/0!</v>
      </c>
      <c r="M64" s="424" t="e">
        <f t="shared" si="47"/>
        <v>#DIV/0!</v>
      </c>
      <c r="N64" s="424" t="e">
        <f t="shared" si="47"/>
        <v>#DIV/0!</v>
      </c>
      <c r="O64" s="424" t="e">
        <f t="shared" si="47"/>
        <v>#DIV/0!</v>
      </c>
      <c r="P64" s="424" t="e">
        <f t="shared" si="47"/>
        <v>#DIV/0!</v>
      </c>
      <c r="Q64" s="424" t="e">
        <f t="shared" si="47"/>
        <v>#DIV/0!</v>
      </c>
      <c r="R64" s="424" t="e">
        <f t="shared" si="47"/>
        <v>#DIV/0!</v>
      </c>
      <c r="S64" s="424" t="e">
        <f t="shared" si="47"/>
        <v>#DIV/0!</v>
      </c>
      <c r="T64" s="424" t="e">
        <f t="shared" si="47"/>
        <v>#DIV/0!</v>
      </c>
      <c r="U64" s="424" t="e">
        <f t="shared" si="47"/>
        <v>#DIV/0!</v>
      </c>
      <c r="V64" s="424" t="e">
        <f t="shared" si="47"/>
        <v>#DIV/0!</v>
      </c>
      <c r="W64" s="424" t="e">
        <f t="shared" si="47"/>
        <v>#DIV/0!</v>
      </c>
      <c r="X64" s="424" t="e">
        <f t="shared" si="47"/>
        <v>#DIV/0!</v>
      </c>
      <c r="Y64" s="424" t="e">
        <f t="shared" si="47"/>
        <v>#DIV/0!</v>
      </c>
      <c r="Z64" s="424" t="e">
        <f t="shared" si="47"/>
        <v>#DIV/0!</v>
      </c>
      <c r="AA64" s="424" t="e">
        <f t="shared" si="47"/>
        <v>#DIV/0!</v>
      </c>
      <c r="AB64" s="424" t="e">
        <f t="shared" si="47"/>
        <v>#DIV/0!</v>
      </c>
      <c r="AC64" s="424" t="e">
        <f t="shared" si="47"/>
        <v>#DIV/0!</v>
      </c>
      <c r="AD64" s="424" t="e">
        <f t="shared" si="47"/>
        <v>#DIV/0!</v>
      </c>
      <c r="AE64" s="424" t="e">
        <f t="shared" si="47"/>
        <v>#DIV/0!</v>
      </c>
      <c r="AF64" s="424" t="e">
        <f t="shared" si="47"/>
        <v>#DIV/0!</v>
      </c>
      <c r="AG64" s="424" t="e">
        <f t="shared" si="47"/>
        <v>#DIV/0!</v>
      </c>
      <c r="AH64" s="424" t="e">
        <f t="shared" si="47"/>
        <v>#DIV/0!</v>
      </c>
      <c r="AI64" s="424" t="e">
        <f t="shared" si="47"/>
        <v>#DIV/0!</v>
      </c>
      <c r="AJ64" s="424" t="e">
        <f t="shared" si="47"/>
        <v>#DIV/0!</v>
      </c>
      <c r="AK64" s="424" t="e">
        <f t="shared" si="47"/>
        <v>#DIV/0!</v>
      </c>
      <c r="AL64" s="424" t="e">
        <f t="shared" si="47"/>
        <v>#DIV/0!</v>
      </c>
      <c r="AM64" s="424" t="e">
        <f t="shared" si="47"/>
        <v>#DIV/0!</v>
      </c>
      <c r="AN64" s="424" t="e">
        <f t="shared" si="47"/>
        <v>#DIV/0!</v>
      </c>
      <c r="AO64" s="424" t="e">
        <f t="shared" si="47"/>
        <v>#DIV/0!</v>
      </c>
      <c r="AP64" s="424" t="e">
        <f t="shared" si="47"/>
        <v>#DIV/0!</v>
      </c>
      <c r="AQ64" s="424" t="e">
        <f t="shared" si="47"/>
        <v>#DIV/0!</v>
      </c>
      <c r="AR64" s="425" t="e">
        <f t="shared" si="47"/>
        <v>#DIV/0!</v>
      </c>
      <c r="AS64" s="423"/>
    </row>
    <row r="65" spans="2:45" s="399" customFormat="1" x14ac:dyDescent="0.2">
      <c r="B65" s="426"/>
      <c r="C65" s="549" t="s">
        <v>316</v>
      </c>
      <c r="D65" s="421"/>
      <c r="E65" s="421">
        <f>E63/E64</f>
        <v>2.333333333333333</v>
      </c>
      <c r="F65" s="421" t="e">
        <f t="shared" ref="F65:AR65" si="48">F63/F64</f>
        <v>#DIV/0!</v>
      </c>
      <c r="G65" s="421" t="e">
        <f t="shared" si="48"/>
        <v>#DIV/0!</v>
      </c>
      <c r="H65" s="421" t="e">
        <f t="shared" si="48"/>
        <v>#DIV/0!</v>
      </c>
      <c r="I65" s="421" t="e">
        <f t="shared" si="48"/>
        <v>#DIV/0!</v>
      </c>
      <c r="J65" s="421" t="e">
        <f t="shared" si="48"/>
        <v>#DIV/0!</v>
      </c>
      <c r="K65" s="421" t="e">
        <f t="shared" si="48"/>
        <v>#DIV/0!</v>
      </c>
      <c r="L65" s="421" t="e">
        <f t="shared" si="48"/>
        <v>#DIV/0!</v>
      </c>
      <c r="M65" s="421" t="e">
        <f t="shared" si="48"/>
        <v>#DIV/0!</v>
      </c>
      <c r="N65" s="421" t="e">
        <f t="shared" si="48"/>
        <v>#DIV/0!</v>
      </c>
      <c r="O65" s="421" t="e">
        <f t="shared" si="48"/>
        <v>#DIV/0!</v>
      </c>
      <c r="P65" s="421" t="e">
        <f t="shared" si="48"/>
        <v>#DIV/0!</v>
      </c>
      <c r="Q65" s="421" t="e">
        <f t="shared" si="48"/>
        <v>#DIV/0!</v>
      </c>
      <c r="R65" s="421" t="e">
        <f t="shared" si="48"/>
        <v>#DIV/0!</v>
      </c>
      <c r="S65" s="421" t="e">
        <f t="shared" si="48"/>
        <v>#DIV/0!</v>
      </c>
      <c r="T65" s="421" t="e">
        <f t="shared" si="48"/>
        <v>#DIV/0!</v>
      </c>
      <c r="U65" s="421" t="e">
        <f t="shared" si="48"/>
        <v>#DIV/0!</v>
      </c>
      <c r="V65" s="421" t="e">
        <f t="shared" si="48"/>
        <v>#DIV/0!</v>
      </c>
      <c r="W65" s="421" t="e">
        <f t="shared" si="48"/>
        <v>#DIV/0!</v>
      </c>
      <c r="X65" s="421" t="e">
        <f t="shared" si="48"/>
        <v>#DIV/0!</v>
      </c>
      <c r="Y65" s="421" t="e">
        <f t="shared" si="48"/>
        <v>#DIV/0!</v>
      </c>
      <c r="Z65" s="421" t="e">
        <f t="shared" si="48"/>
        <v>#DIV/0!</v>
      </c>
      <c r="AA65" s="421" t="e">
        <f t="shared" si="48"/>
        <v>#DIV/0!</v>
      </c>
      <c r="AB65" s="421" t="e">
        <f t="shared" si="48"/>
        <v>#DIV/0!</v>
      </c>
      <c r="AC65" s="421" t="e">
        <f t="shared" si="48"/>
        <v>#DIV/0!</v>
      </c>
      <c r="AD65" s="421" t="e">
        <f t="shared" si="48"/>
        <v>#DIV/0!</v>
      </c>
      <c r="AE65" s="421" t="e">
        <f t="shared" si="48"/>
        <v>#DIV/0!</v>
      </c>
      <c r="AF65" s="421" t="e">
        <f t="shared" si="48"/>
        <v>#DIV/0!</v>
      </c>
      <c r="AG65" s="421" t="e">
        <f t="shared" si="48"/>
        <v>#DIV/0!</v>
      </c>
      <c r="AH65" s="421" t="e">
        <f t="shared" si="48"/>
        <v>#DIV/0!</v>
      </c>
      <c r="AI65" s="421" t="e">
        <f t="shared" si="48"/>
        <v>#DIV/0!</v>
      </c>
      <c r="AJ65" s="421" t="e">
        <f t="shared" si="48"/>
        <v>#DIV/0!</v>
      </c>
      <c r="AK65" s="421" t="e">
        <f t="shared" si="48"/>
        <v>#DIV/0!</v>
      </c>
      <c r="AL65" s="421" t="e">
        <f t="shared" si="48"/>
        <v>#DIV/0!</v>
      </c>
      <c r="AM65" s="421" t="e">
        <f t="shared" si="48"/>
        <v>#DIV/0!</v>
      </c>
      <c r="AN65" s="421" t="e">
        <f t="shared" si="48"/>
        <v>#DIV/0!</v>
      </c>
      <c r="AO65" s="421" t="e">
        <f t="shared" si="48"/>
        <v>#DIV/0!</v>
      </c>
      <c r="AP65" s="421" t="e">
        <f t="shared" si="48"/>
        <v>#DIV/0!</v>
      </c>
      <c r="AQ65" s="421" t="e">
        <f t="shared" si="48"/>
        <v>#DIV/0!</v>
      </c>
      <c r="AR65" s="422" t="e">
        <f t="shared" si="48"/>
        <v>#DIV/0!</v>
      </c>
      <c r="AS65" s="426"/>
    </row>
    <row r="66" spans="2:45" x14ac:dyDescent="0.2">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row>
    <row r="67" spans="2:45" x14ac:dyDescent="0.2">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row>
    <row r="68" spans="2:45" x14ac:dyDescent="0.2">
      <c r="B68" s="175"/>
      <c r="C68" s="524" t="s">
        <v>89</v>
      </c>
      <c r="D68" s="306"/>
      <c r="E68" s="306"/>
      <c r="F68" s="306"/>
      <c r="G68" s="306"/>
      <c r="H68" s="306"/>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row>
    <row r="69" spans="2:45" x14ac:dyDescent="0.2">
      <c r="B69" s="175"/>
      <c r="C69" s="525" t="s">
        <v>523</v>
      </c>
      <c r="D69" s="745"/>
      <c r="E69" s="746"/>
      <c r="F69" s="746"/>
      <c r="G69" s="746"/>
      <c r="H69" s="746"/>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409"/>
      <c r="AS69" s="175"/>
    </row>
    <row r="70" spans="2:45" x14ac:dyDescent="0.2">
      <c r="B70" s="175"/>
      <c r="C70" s="551" t="s">
        <v>90</v>
      </c>
      <c r="D70" s="530"/>
      <c r="E70" s="552"/>
      <c r="F70" s="552"/>
      <c r="G70" s="552"/>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2"/>
      <c r="AH70" s="552"/>
      <c r="AI70" s="552"/>
      <c r="AJ70" s="552"/>
      <c r="AK70" s="552"/>
      <c r="AL70" s="552"/>
      <c r="AM70" s="552"/>
      <c r="AN70" s="552"/>
      <c r="AO70" s="552"/>
      <c r="AP70" s="552"/>
      <c r="AQ70" s="552"/>
      <c r="AR70" s="553"/>
      <c r="AS70" s="175"/>
    </row>
    <row r="71" spans="2:45" x14ac:dyDescent="0.2">
      <c r="B71" s="175"/>
      <c r="C71" s="539" t="s">
        <v>518</v>
      </c>
      <c r="D71" s="108"/>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18"/>
      <c r="AS71" s="175"/>
    </row>
    <row r="72" spans="2:45" x14ac:dyDescent="0.2">
      <c r="B72" s="175"/>
      <c r="C72" s="542" t="s">
        <v>322</v>
      </c>
      <c r="D72" s="54"/>
      <c r="E72" s="377">
        <f>SUMIF('Capital Costs Details'!C9:C149,"Land costs",'Capital Costs Details'!G9:G149)</f>
        <v>0</v>
      </c>
      <c r="F72" s="377">
        <f>IF(F5&lt;='Tariff Inputs'!$D17,E72,0)</f>
        <v>0</v>
      </c>
      <c r="G72" s="377">
        <f>IF(G5&lt;='Tariff Inputs'!$D17,F72,0)</f>
        <v>0</v>
      </c>
      <c r="H72" s="377">
        <f>IF(H5&lt;='Tariff Inputs'!$D17,G72,0)</f>
        <v>0</v>
      </c>
      <c r="I72" s="377">
        <f>IF(I5&lt;='Tariff Inputs'!$D17,H72,0)</f>
        <v>0</v>
      </c>
      <c r="J72" s="377">
        <f>IF(J5&lt;='Tariff Inputs'!$D17,I72,0)</f>
        <v>0</v>
      </c>
      <c r="K72" s="377">
        <f>IF(K5&lt;='Tariff Inputs'!$D17,J72,0)</f>
        <v>0</v>
      </c>
      <c r="L72" s="377">
        <f>IF(L5&lt;='Tariff Inputs'!$D17,K72,0)</f>
        <v>0</v>
      </c>
      <c r="M72" s="377">
        <f>IF(M5&lt;='Tariff Inputs'!$D17,L72,0)</f>
        <v>0</v>
      </c>
      <c r="N72" s="377">
        <f>IF(N5&lt;='Tariff Inputs'!$D17,M72,0)</f>
        <v>0</v>
      </c>
      <c r="O72" s="377">
        <f>IF(O5&lt;='Tariff Inputs'!$D17,N72,0)</f>
        <v>0</v>
      </c>
      <c r="P72" s="377">
        <f>IF(P5&lt;='Tariff Inputs'!$D17,O72,0)</f>
        <v>0</v>
      </c>
      <c r="Q72" s="377">
        <f>IF(Q5&lt;='Tariff Inputs'!$D17,P72,0)</f>
        <v>0</v>
      </c>
      <c r="R72" s="377">
        <f>IF(R5&lt;='Tariff Inputs'!$D17,Q72,0)</f>
        <v>0</v>
      </c>
      <c r="S72" s="377">
        <f>IF(S5&lt;='Tariff Inputs'!$D17,R72,0)</f>
        <v>0</v>
      </c>
      <c r="T72" s="377">
        <f>IF(T5&lt;='Tariff Inputs'!$D17,S72,0)</f>
        <v>0</v>
      </c>
      <c r="U72" s="377">
        <f>IF(U5&lt;='Tariff Inputs'!$D17,T72,0)</f>
        <v>0</v>
      </c>
      <c r="V72" s="377">
        <f>IF(V5&lt;='Tariff Inputs'!$D17,U72,0)</f>
        <v>0</v>
      </c>
      <c r="W72" s="377">
        <f>IF(W5&lt;='Tariff Inputs'!$D17,V72,0)</f>
        <v>0</v>
      </c>
      <c r="X72" s="377">
        <f>IF(X5&lt;='Tariff Inputs'!$D17,W72,0)</f>
        <v>0</v>
      </c>
      <c r="Y72" s="377">
        <f>IF(Y5&lt;='Tariff Inputs'!$D17,X72,0)</f>
        <v>0</v>
      </c>
      <c r="Z72" s="377">
        <f>IF(Z5&lt;='Tariff Inputs'!$D17,Y72,0)</f>
        <v>0</v>
      </c>
      <c r="AA72" s="377">
        <f>IF(AA5&lt;='Tariff Inputs'!$D17,Z72,0)</f>
        <v>0</v>
      </c>
      <c r="AB72" s="377">
        <f>IF(AB5&lt;='Tariff Inputs'!$D17,AA72,0)</f>
        <v>0</v>
      </c>
      <c r="AC72" s="377">
        <f>IF(AC5&lt;='Tariff Inputs'!$D17,AB72,0)</f>
        <v>0</v>
      </c>
      <c r="AD72" s="377">
        <f>IF(AD5&lt;='Tariff Inputs'!$D17,AC72,0)</f>
        <v>0</v>
      </c>
      <c r="AE72" s="377">
        <f>IF(AE5&lt;='Tariff Inputs'!$D17,AD72,0)</f>
        <v>0</v>
      </c>
      <c r="AF72" s="377">
        <f>IF(AF5&lt;='Tariff Inputs'!$D17,AE72,0)</f>
        <v>0</v>
      </c>
      <c r="AG72" s="377">
        <f>IF(AG5&lt;='Tariff Inputs'!$D17,AF72,0)</f>
        <v>0</v>
      </c>
      <c r="AH72" s="377">
        <f>IF(AH5&lt;='Tariff Inputs'!$D17,AG72,0)</f>
        <v>0</v>
      </c>
      <c r="AI72" s="377">
        <f>IF(AI5&lt;='Tariff Inputs'!$D17,AH72,0)</f>
        <v>0</v>
      </c>
      <c r="AJ72" s="377">
        <f>IF(AJ5&lt;='Tariff Inputs'!$D17,AI72,0)</f>
        <v>0</v>
      </c>
      <c r="AK72" s="377">
        <f>IF(AK5&lt;='Tariff Inputs'!$D17,AJ72,0)</f>
        <v>0</v>
      </c>
      <c r="AL72" s="377">
        <f>IF(AL5&lt;='Tariff Inputs'!$D17,AK72,0)</f>
        <v>0</v>
      </c>
      <c r="AM72" s="377">
        <f>IF(AM5&lt;='Tariff Inputs'!$D17,AL72,0)</f>
        <v>0</v>
      </c>
      <c r="AN72" s="377">
        <f>IF(AN5&lt;='Tariff Inputs'!$D17,AM72,0)</f>
        <v>0</v>
      </c>
      <c r="AO72" s="377">
        <f>IF(AO5&lt;='Tariff Inputs'!$D17,AN72,0)</f>
        <v>0</v>
      </c>
      <c r="AP72" s="377">
        <f>IF(AP5&lt;='Tariff Inputs'!$D17,AO72,0)</f>
        <v>0</v>
      </c>
      <c r="AQ72" s="377">
        <f>IF(AQ5&lt;='Tariff Inputs'!$D17,AP72,0)</f>
        <v>0</v>
      </c>
      <c r="AR72" s="385">
        <f>IF(AR5&lt;='Tariff Inputs'!$D17,AQ72,0)</f>
        <v>0</v>
      </c>
      <c r="AS72" s="175"/>
    </row>
    <row r="73" spans="2:45" x14ac:dyDescent="0.2">
      <c r="B73" s="175"/>
      <c r="C73" s="542" t="s">
        <v>522</v>
      </c>
      <c r="D73" s="54"/>
      <c r="E73" s="377">
        <f>'Tariff Calculator'!E19-E72</f>
        <v>0</v>
      </c>
      <c r="F73" s="377">
        <f>'Tariff Calculator'!F19-F72</f>
        <v>0</v>
      </c>
      <c r="G73" s="377">
        <f>'Tariff Calculator'!G19-G72</f>
        <v>0</v>
      </c>
      <c r="H73" s="377">
        <f>'Tariff Calculator'!H19-H72</f>
        <v>0</v>
      </c>
      <c r="I73" s="377">
        <f>'Tariff Calculator'!I19-I72</f>
        <v>0</v>
      </c>
      <c r="J73" s="377">
        <f>'Tariff Calculator'!J19-J72</f>
        <v>0</v>
      </c>
      <c r="K73" s="377">
        <f>'Tariff Calculator'!K19-K72</f>
        <v>0</v>
      </c>
      <c r="L73" s="377">
        <f>'Tariff Calculator'!L19-L72</f>
        <v>0</v>
      </c>
      <c r="M73" s="377">
        <f>'Tariff Calculator'!M19-M72</f>
        <v>0</v>
      </c>
      <c r="N73" s="377">
        <f>'Tariff Calculator'!N19-N72</f>
        <v>0</v>
      </c>
      <c r="O73" s="377">
        <f>'Tariff Calculator'!O19-O72</f>
        <v>0</v>
      </c>
      <c r="P73" s="377">
        <f>'Tariff Calculator'!P19-P72</f>
        <v>0</v>
      </c>
      <c r="Q73" s="377">
        <f>'Tariff Calculator'!Q19-Q72</f>
        <v>0</v>
      </c>
      <c r="R73" s="377">
        <f>'Tariff Calculator'!R19-R72</f>
        <v>0</v>
      </c>
      <c r="S73" s="377">
        <f>'Tariff Calculator'!S19-S72</f>
        <v>0</v>
      </c>
      <c r="T73" s="377">
        <f>'Tariff Calculator'!T19-T72</f>
        <v>0</v>
      </c>
      <c r="U73" s="377">
        <f>'Tariff Calculator'!U19-U72</f>
        <v>0</v>
      </c>
      <c r="V73" s="377">
        <f>'Tariff Calculator'!V19-V72</f>
        <v>0</v>
      </c>
      <c r="W73" s="377">
        <f>'Tariff Calculator'!W19-W72</f>
        <v>0</v>
      </c>
      <c r="X73" s="377">
        <f>'Tariff Calculator'!X19-X72</f>
        <v>0</v>
      </c>
      <c r="Y73" s="377">
        <f>'Tariff Calculator'!Y19-Y72</f>
        <v>0</v>
      </c>
      <c r="Z73" s="377">
        <f>'Tariff Calculator'!Z19-Z72</f>
        <v>0</v>
      </c>
      <c r="AA73" s="377">
        <f>'Tariff Calculator'!AA19-AA72</f>
        <v>0</v>
      </c>
      <c r="AB73" s="377">
        <f>'Tariff Calculator'!AB19-AB72</f>
        <v>0</v>
      </c>
      <c r="AC73" s="377">
        <f>'Tariff Calculator'!AC19-AC72</f>
        <v>0</v>
      </c>
      <c r="AD73" s="377">
        <f>'Tariff Calculator'!AD19-AD72</f>
        <v>0</v>
      </c>
      <c r="AE73" s="377">
        <f>'Tariff Calculator'!AE19-AE72</f>
        <v>0</v>
      </c>
      <c r="AF73" s="377">
        <f>'Tariff Calculator'!AF19-AF72</f>
        <v>0</v>
      </c>
      <c r="AG73" s="377">
        <f>'Tariff Calculator'!AG19-AG72</f>
        <v>0</v>
      </c>
      <c r="AH73" s="377">
        <f>'Tariff Calculator'!AH19-AH72</f>
        <v>0</v>
      </c>
      <c r="AI73" s="377">
        <f>'Tariff Calculator'!AI19-AI72</f>
        <v>0</v>
      </c>
      <c r="AJ73" s="377">
        <f>'Tariff Calculator'!AJ19-AJ72</f>
        <v>0</v>
      </c>
      <c r="AK73" s="377">
        <f>'Tariff Calculator'!AK19-AK72</f>
        <v>0</v>
      </c>
      <c r="AL73" s="377">
        <f>'Tariff Calculator'!AL19-AL72</f>
        <v>0</v>
      </c>
      <c r="AM73" s="377">
        <f>'Tariff Calculator'!AM19-AM72</f>
        <v>0</v>
      </c>
      <c r="AN73" s="377">
        <f>'Tariff Calculator'!AN19-AN72</f>
        <v>0</v>
      </c>
      <c r="AO73" s="377">
        <f>'Tariff Calculator'!AO19-AO72</f>
        <v>0</v>
      </c>
      <c r="AP73" s="377">
        <f>'Tariff Calculator'!AP19-AP72</f>
        <v>0</v>
      </c>
      <c r="AQ73" s="377">
        <f>'Tariff Calculator'!AQ19-AQ72</f>
        <v>0</v>
      </c>
      <c r="AR73" s="385">
        <f>'Tariff Calculator'!AR19-AR72</f>
        <v>0</v>
      </c>
      <c r="AS73" s="175"/>
    </row>
    <row r="74" spans="2:45" x14ac:dyDescent="0.2">
      <c r="B74" s="175"/>
      <c r="C74" s="542" t="s">
        <v>331</v>
      </c>
      <c r="D74" s="54"/>
      <c r="E74" s="377">
        <f>'Tariff Calculator'!E20</f>
        <v>0</v>
      </c>
      <c r="F74" s="377">
        <f>'Tariff Calculator'!F20</f>
        <v>0</v>
      </c>
      <c r="G74" s="377">
        <f>'Tariff Calculator'!G20</f>
        <v>0</v>
      </c>
      <c r="H74" s="377">
        <f>'Tariff Calculator'!H20</f>
        <v>0</v>
      </c>
      <c r="I74" s="377">
        <f>'Tariff Calculator'!I20</f>
        <v>0</v>
      </c>
      <c r="J74" s="377">
        <f>'Tariff Calculator'!J20</f>
        <v>0</v>
      </c>
      <c r="K74" s="377">
        <f>'Tariff Calculator'!K20</f>
        <v>0</v>
      </c>
      <c r="L74" s="377">
        <f>'Tariff Calculator'!L20</f>
        <v>0</v>
      </c>
      <c r="M74" s="377">
        <f>'Tariff Calculator'!M20</f>
        <v>0</v>
      </c>
      <c r="N74" s="377">
        <f>'Tariff Calculator'!N20</f>
        <v>0</v>
      </c>
      <c r="O74" s="377">
        <f>'Tariff Calculator'!O20</f>
        <v>0</v>
      </c>
      <c r="P74" s="377">
        <f>'Tariff Calculator'!P20</f>
        <v>0</v>
      </c>
      <c r="Q74" s="377">
        <f>'Tariff Calculator'!Q20</f>
        <v>0</v>
      </c>
      <c r="R74" s="377">
        <f>'Tariff Calculator'!R20</f>
        <v>0</v>
      </c>
      <c r="S74" s="377">
        <f>'Tariff Calculator'!S20</f>
        <v>0</v>
      </c>
      <c r="T74" s="377">
        <f>'Tariff Calculator'!T20</f>
        <v>0</v>
      </c>
      <c r="U74" s="377">
        <f>'Tariff Calculator'!U20</f>
        <v>0</v>
      </c>
      <c r="V74" s="377">
        <f>'Tariff Calculator'!V20</f>
        <v>0</v>
      </c>
      <c r="W74" s="377">
        <f>'Tariff Calculator'!W20</f>
        <v>0</v>
      </c>
      <c r="X74" s="377">
        <f>'Tariff Calculator'!X20</f>
        <v>0</v>
      </c>
      <c r="Y74" s="377">
        <f>'Tariff Calculator'!Y20</f>
        <v>0</v>
      </c>
      <c r="Z74" s="377">
        <f>'Tariff Calculator'!Z20</f>
        <v>0</v>
      </c>
      <c r="AA74" s="377">
        <f>'Tariff Calculator'!AA20</f>
        <v>0</v>
      </c>
      <c r="AB74" s="377">
        <f>'Tariff Calculator'!AB20</f>
        <v>0</v>
      </c>
      <c r="AC74" s="377">
        <f>'Tariff Calculator'!AC20</f>
        <v>0</v>
      </c>
      <c r="AD74" s="377">
        <f>'Tariff Calculator'!AD20</f>
        <v>0</v>
      </c>
      <c r="AE74" s="377">
        <f>'Tariff Calculator'!AE20</f>
        <v>0</v>
      </c>
      <c r="AF74" s="377">
        <f>'Tariff Calculator'!AF20</f>
        <v>0</v>
      </c>
      <c r="AG74" s="377">
        <f>'Tariff Calculator'!AG20</f>
        <v>0</v>
      </c>
      <c r="AH74" s="377">
        <f>'Tariff Calculator'!AH20</f>
        <v>0</v>
      </c>
      <c r="AI74" s="377">
        <f>'Tariff Calculator'!AI20</f>
        <v>0</v>
      </c>
      <c r="AJ74" s="377">
        <f>'Tariff Calculator'!AJ20</f>
        <v>0</v>
      </c>
      <c r="AK74" s="377">
        <f>'Tariff Calculator'!AK20</f>
        <v>0</v>
      </c>
      <c r="AL74" s="377">
        <f>'Tariff Calculator'!AL20</f>
        <v>0</v>
      </c>
      <c r="AM74" s="377">
        <f>'Tariff Calculator'!AM20</f>
        <v>0</v>
      </c>
      <c r="AN74" s="377">
        <f>'Tariff Calculator'!AN20</f>
        <v>0</v>
      </c>
      <c r="AO74" s="377">
        <f>'Tariff Calculator'!AO20</f>
        <v>0</v>
      </c>
      <c r="AP74" s="377">
        <f>'Tariff Calculator'!AP20</f>
        <v>0</v>
      </c>
      <c r="AQ74" s="377">
        <f>'Tariff Calculator'!AQ20</f>
        <v>0</v>
      </c>
      <c r="AR74" s="385">
        <f>'Tariff Calculator'!AR20</f>
        <v>0</v>
      </c>
      <c r="AS74" s="175"/>
    </row>
    <row r="75" spans="2:45" x14ac:dyDescent="0.2">
      <c r="B75" s="175"/>
      <c r="C75" s="542" t="s">
        <v>330</v>
      </c>
      <c r="D75" s="54"/>
      <c r="E75" s="377">
        <f>'Tariff Calculator'!E22</f>
        <v>0</v>
      </c>
      <c r="F75" s="377">
        <f>'Tariff Calculator'!F22</f>
        <v>0</v>
      </c>
      <c r="G75" s="377">
        <f>'Tariff Calculator'!G22</f>
        <v>0</v>
      </c>
      <c r="H75" s="377">
        <f>'Tariff Calculator'!H22</f>
        <v>0</v>
      </c>
      <c r="I75" s="377">
        <f>'Tariff Calculator'!I22</f>
        <v>0</v>
      </c>
      <c r="J75" s="377">
        <f>'Tariff Calculator'!J22</f>
        <v>0</v>
      </c>
      <c r="K75" s="377">
        <f>'Tariff Calculator'!K22</f>
        <v>0</v>
      </c>
      <c r="L75" s="377">
        <f>'Tariff Calculator'!L22</f>
        <v>0</v>
      </c>
      <c r="M75" s="377">
        <f>'Tariff Calculator'!M22</f>
        <v>0</v>
      </c>
      <c r="N75" s="377">
        <f>'Tariff Calculator'!N22</f>
        <v>0</v>
      </c>
      <c r="O75" s="377">
        <f>'Tariff Calculator'!O22</f>
        <v>0</v>
      </c>
      <c r="P75" s="377">
        <f>'Tariff Calculator'!P22</f>
        <v>0</v>
      </c>
      <c r="Q75" s="377">
        <f>'Tariff Calculator'!Q22</f>
        <v>0</v>
      </c>
      <c r="R75" s="377">
        <f>'Tariff Calculator'!R22</f>
        <v>0</v>
      </c>
      <c r="S75" s="377">
        <f>'Tariff Calculator'!S22</f>
        <v>0</v>
      </c>
      <c r="T75" s="377">
        <f>'Tariff Calculator'!T22</f>
        <v>0</v>
      </c>
      <c r="U75" s="377">
        <f>'Tariff Calculator'!U22</f>
        <v>0</v>
      </c>
      <c r="V75" s="377">
        <f>'Tariff Calculator'!V22</f>
        <v>0</v>
      </c>
      <c r="W75" s="377">
        <f>'Tariff Calculator'!W22</f>
        <v>0</v>
      </c>
      <c r="X75" s="377">
        <f>'Tariff Calculator'!X22</f>
        <v>0</v>
      </c>
      <c r="Y75" s="377">
        <f>'Tariff Calculator'!Y22</f>
        <v>0</v>
      </c>
      <c r="Z75" s="377">
        <f>'Tariff Calculator'!Z22</f>
        <v>0</v>
      </c>
      <c r="AA75" s="377">
        <f>'Tariff Calculator'!AA22</f>
        <v>0</v>
      </c>
      <c r="AB75" s="377">
        <f>'Tariff Calculator'!AB22</f>
        <v>0</v>
      </c>
      <c r="AC75" s="377">
        <f>'Tariff Calculator'!AC22</f>
        <v>0</v>
      </c>
      <c r="AD75" s="377">
        <f>'Tariff Calculator'!AD22</f>
        <v>0</v>
      </c>
      <c r="AE75" s="377">
        <f>'Tariff Calculator'!AE22</f>
        <v>0</v>
      </c>
      <c r="AF75" s="377">
        <f>'Tariff Calculator'!AF22</f>
        <v>0</v>
      </c>
      <c r="AG75" s="377">
        <f>'Tariff Calculator'!AG22</f>
        <v>0</v>
      </c>
      <c r="AH75" s="377">
        <f>'Tariff Calculator'!AH22</f>
        <v>0</v>
      </c>
      <c r="AI75" s="377">
        <f>'Tariff Calculator'!AI22</f>
        <v>0</v>
      </c>
      <c r="AJ75" s="377">
        <f>'Tariff Calculator'!AJ22</f>
        <v>0</v>
      </c>
      <c r="AK75" s="377">
        <f>'Tariff Calculator'!AK22</f>
        <v>0</v>
      </c>
      <c r="AL75" s="377">
        <f>'Tariff Calculator'!AL22</f>
        <v>0</v>
      </c>
      <c r="AM75" s="377">
        <f>'Tariff Calculator'!AM22</f>
        <v>0</v>
      </c>
      <c r="AN75" s="377">
        <f>'Tariff Calculator'!AN22</f>
        <v>0</v>
      </c>
      <c r="AO75" s="377">
        <f>'Tariff Calculator'!AO22</f>
        <v>0</v>
      </c>
      <c r="AP75" s="377">
        <f>'Tariff Calculator'!AP22</f>
        <v>0</v>
      </c>
      <c r="AQ75" s="377">
        <f>'Tariff Calculator'!AQ22</f>
        <v>0</v>
      </c>
      <c r="AR75" s="385">
        <f>'Tariff Calculator'!AR22</f>
        <v>0</v>
      </c>
      <c r="AS75" s="175"/>
    </row>
    <row r="76" spans="2:45" x14ac:dyDescent="0.2">
      <c r="B76" s="175"/>
      <c r="C76" s="542" t="s">
        <v>91</v>
      </c>
      <c r="D76" s="54"/>
      <c r="E76" s="377">
        <f>SUM(E73:E75)</f>
        <v>0</v>
      </c>
      <c r="F76" s="377">
        <f>SUM(F73:F75)</f>
        <v>0</v>
      </c>
      <c r="G76" s="377">
        <f t="shared" ref="G76:I76" si="49">SUM(G73:G75)</f>
        <v>0</v>
      </c>
      <c r="H76" s="377">
        <f t="shared" si="49"/>
        <v>0</v>
      </c>
      <c r="I76" s="377">
        <f t="shared" si="49"/>
        <v>0</v>
      </c>
      <c r="J76" s="377">
        <f t="shared" ref="J76:AR76" si="50">SUM(J73:J75)</f>
        <v>0</v>
      </c>
      <c r="K76" s="377">
        <f t="shared" si="50"/>
        <v>0</v>
      </c>
      <c r="L76" s="377">
        <f t="shared" si="50"/>
        <v>0</v>
      </c>
      <c r="M76" s="377">
        <f t="shared" si="50"/>
        <v>0</v>
      </c>
      <c r="N76" s="377">
        <f t="shared" si="50"/>
        <v>0</v>
      </c>
      <c r="O76" s="377">
        <f t="shared" si="50"/>
        <v>0</v>
      </c>
      <c r="P76" s="377">
        <f t="shared" si="50"/>
        <v>0</v>
      </c>
      <c r="Q76" s="377">
        <f t="shared" si="50"/>
        <v>0</v>
      </c>
      <c r="R76" s="377">
        <f t="shared" si="50"/>
        <v>0</v>
      </c>
      <c r="S76" s="377">
        <f t="shared" si="50"/>
        <v>0</v>
      </c>
      <c r="T76" s="377">
        <f t="shared" si="50"/>
        <v>0</v>
      </c>
      <c r="U76" s="377">
        <f t="shared" si="50"/>
        <v>0</v>
      </c>
      <c r="V76" s="377">
        <f t="shared" si="50"/>
        <v>0</v>
      </c>
      <c r="W76" s="377">
        <f t="shared" si="50"/>
        <v>0</v>
      </c>
      <c r="X76" s="377">
        <f t="shared" si="50"/>
        <v>0</v>
      </c>
      <c r="Y76" s="377">
        <f t="shared" si="50"/>
        <v>0</v>
      </c>
      <c r="Z76" s="377">
        <f t="shared" si="50"/>
        <v>0</v>
      </c>
      <c r="AA76" s="377">
        <f t="shared" si="50"/>
        <v>0</v>
      </c>
      <c r="AB76" s="377">
        <f t="shared" si="50"/>
        <v>0</v>
      </c>
      <c r="AC76" s="377">
        <f t="shared" si="50"/>
        <v>0</v>
      </c>
      <c r="AD76" s="377">
        <f t="shared" si="50"/>
        <v>0</v>
      </c>
      <c r="AE76" s="377">
        <f t="shared" si="50"/>
        <v>0</v>
      </c>
      <c r="AF76" s="377">
        <f t="shared" si="50"/>
        <v>0</v>
      </c>
      <c r="AG76" s="377">
        <f t="shared" si="50"/>
        <v>0</v>
      </c>
      <c r="AH76" s="377">
        <f t="shared" si="50"/>
        <v>0</v>
      </c>
      <c r="AI76" s="377">
        <f t="shared" si="50"/>
        <v>0</v>
      </c>
      <c r="AJ76" s="377">
        <f t="shared" si="50"/>
        <v>0</v>
      </c>
      <c r="AK76" s="377">
        <f t="shared" si="50"/>
        <v>0</v>
      </c>
      <c r="AL76" s="377">
        <f t="shared" si="50"/>
        <v>0</v>
      </c>
      <c r="AM76" s="377">
        <f t="shared" si="50"/>
        <v>0</v>
      </c>
      <c r="AN76" s="377">
        <f t="shared" si="50"/>
        <v>0</v>
      </c>
      <c r="AO76" s="377">
        <f t="shared" si="50"/>
        <v>0</v>
      </c>
      <c r="AP76" s="377">
        <f t="shared" si="50"/>
        <v>0</v>
      </c>
      <c r="AQ76" s="377">
        <f t="shared" si="50"/>
        <v>0</v>
      </c>
      <c r="AR76" s="385">
        <f t="shared" si="50"/>
        <v>0</v>
      </c>
      <c r="AS76" s="175"/>
    </row>
    <row r="77" spans="2:45" x14ac:dyDescent="0.2">
      <c r="B77" s="175"/>
      <c r="C77" s="542" t="s">
        <v>325</v>
      </c>
      <c r="D77" s="54"/>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85"/>
      <c r="AS77" s="175"/>
    </row>
    <row r="78" spans="2:45" x14ac:dyDescent="0.2">
      <c r="B78" s="175"/>
      <c r="C78" s="542" t="s">
        <v>92</v>
      </c>
      <c r="D78" s="54"/>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85"/>
      <c r="AS78" s="175"/>
    </row>
    <row r="79" spans="2:45" x14ac:dyDescent="0.2">
      <c r="B79" s="175"/>
      <c r="C79" s="542" t="s">
        <v>91</v>
      </c>
      <c r="D79" s="54"/>
      <c r="E79" s="377">
        <f>SUM(E77:E78)</f>
        <v>0</v>
      </c>
      <c r="F79" s="377">
        <f>SUM(F77:F78)</f>
        <v>0</v>
      </c>
      <c r="G79" s="377">
        <f t="shared" ref="G79:I79" si="51">SUM(G77:G78)</f>
        <v>0</v>
      </c>
      <c r="H79" s="377">
        <f t="shared" si="51"/>
        <v>0</v>
      </c>
      <c r="I79" s="377">
        <f t="shared" si="51"/>
        <v>0</v>
      </c>
      <c r="J79" s="377">
        <f t="shared" ref="J79:AR79" si="52">SUM(J77:J78)</f>
        <v>0</v>
      </c>
      <c r="K79" s="377">
        <f t="shared" si="52"/>
        <v>0</v>
      </c>
      <c r="L79" s="377">
        <f t="shared" si="52"/>
        <v>0</v>
      </c>
      <c r="M79" s="377">
        <f t="shared" si="52"/>
        <v>0</v>
      </c>
      <c r="N79" s="377">
        <f t="shared" si="52"/>
        <v>0</v>
      </c>
      <c r="O79" s="377">
        <f t="shared" si="52"/>
        <v>0</v>
      </c>
      <c r="P79" s="377">
        <f t="shared" si="52"/>
        <v>0</v>
      </c>
      <c r="Q79" s="377">
        <f t="shared" si="52"/>
        <v>0</v>
      </c>
      <c r="R79" s="377">
        <f t="shared" si="52"/>
        <v>0</v>
      </c>
      <c r="S79" s="377">
        <f t="shared" si="52"/>
        <v>0</v>
      </c>
      <c r="T79" s="377">
        <f t="shared" si="52"/>
        <v>0</v>
      </c>
      <c r="U79" s="377">
        <f t="shared" si="52"/>
        <v>0</v>
      </c>
      <c r="V79" s="377">
        <f t="shared" si="52"/>
        <v>0</v>
      </c>
      <c r="W79" s="377">
        <f t="shared" si="52"/>
        <v>0</v>
      </c>
      <c r="X79" s="377">
        <f t="shared" si="52"/>
        <v>0</v>
      </c>
      <c r="Y79" s="377">
        <f t="shared" si="52"/>
        <v>0</v>
      </c>
      <c r="Z79" s="377">
        <f t="shared" si="52"/>
        <v>0</v>
      </c>
      <c r="AA79" s="377">
        <f t="shared" si="52"/>
        <v>0</v>
      </c>
      <c r="AB79" s="377">
        <f t="shared" si="52"/>
        <v>0</v>
      </c>
      <c r="AC79" s="377">
        <f t="shared" si="52"/>
        <v>0</v>
      </c>
      <c r="AD79" s="377">
        <f t="shared" si="52"/>
        <v>0</v>
      </c>
      <c r="AE79" s="377">
        <f t="shared" si="52"/>
        <v>0</v>
      </c>
      <c r="AF79" s="377">
        <f t="shared" si="52"/>
        <v>0</v>
      </c>
      <c r="AG79" s="377">
        <f t="shared" si="52"/>
        <v>0</v>
      </c>
      <c r="AH79" s="377">
        <f t="shared" si="52"/>
        <v>0</v>
      </c>
      <c r="AI79" s="377">
        <f t="shared" si="52"/>
        <v>0</v>
      </c>
      <c r="AJ79" s="377">
        <f t="shared" si="52"/>
        <v>0</v>
      </c>
      <c r="AK79" s="377">
        <f t="shared" si="52"/>
        <v>0</v>
      </c>
      <c r="AL79" s="377">
        <f t="shared" si="52"/>
        <v>0</v>
      </c>
      <c r="AM79" s="377">
        <f t="shared" si="52"/>
        <v>0</v>
      </c>
      <c r="AN79" s="377">
        <f t="shared" si="52"/>
        <v>0</v>
      </c>
      <c r="AO79" s="377">
        <f t="shared" si="52"/>
        <v>0</v>
      </c>
      <c r="AP79" s="377">
        <f t="shared" si="52"/>
        <v>0</v>
      </c>
      <c r="AQ79" s="377">
        <f t="shared" si="52"/>
        <v>0</v>
      </c>
      <c r="AR79" s="385">
        <f t="shared" si="52"/>
        <v>0</v>
      </c>
      <c r="AS79" s="175"/>
    </row>
    <row r="80" spans="2:45" s="186" customFormat="1" x14ac:dyDescent="0.2">
      <c r="B80" s="428"/>
      <c r="C80" s="550" t="s">
        <v>519</v>
      </c>
      <c r="D80" s="516"/>
      <c r="E80" s="517">
        <f>E76+E72+E79</f>
        <v>0</v>
      </c>
      <c r="F80" s="517">
        <f t="shared" ref="F80:I80" si="53">F76+F72+F79</f>
        <v>0</v>
      </c>
      <c r="G80" s="517">
        <f t="shared" si="53"/>
        <v>0</v>
      </c>
      <c r="H80" s="517">
        <f t="shared" si="53"/>
        <v>0</v>
      </c>
      <c r="I80" s="517">
        <f t="shared" si="53"/>
        <v>0</v>
      </c>
      <c r="J80" s="517">
        <f t="shared" ref="J80:AR80" si="54">J76+J72+J79</f>
        <v>0</v>
      </c>
      <c r="K80" s="517">
        <f t="shared" si="54"/>
        <v>0</v>
      </c>
      <c r="L80" s="517">
        <f t="shared" si="54"/>
        <v>0</v>
      </c>
      <c r="M80" s="517">
        <f t="shared" si="54"/>
        <v>0</v>
      </c>
      <c r="N80" s="517">
        <f t="shared" si="54"/>
        <v>0</v>
      </c>
      <c r="O80" s="517">
        <f t="shared" si="54"/>
        <v>0</v>
      </c>
      <c r="P80" s="517">
        <f t="shared" si="54"/>
        <v>0</v>
      </c>
      <c r="Q80" s="517">
        <f t="shared" si="54"/>
        <v>0</v>
      </c>
      <c r="R80" s="517">
        <f t="shared" si="54"/>
        <v>0</v>
      </c>
      <c r="S80" s="517">
        <f t="shared" si="54"/>
        <v>0</v>
      </c>
      <c r="T80" s="517">
        <f t="shared" si="54"/>
        <v>0</v>
      </c>
      <c r="U80" s="517">
        <f t="shared" si="54"/>
        <v>0</v>
      </c>
      <c r="V80" s="517">
        <f t="shared" si="54"/>
        <v>0</v>
      </c>
      <c r="W80" s="517">
        <f t="shared" si="54"/>
        <v>0</v>
      </c>
      <c r="X80" s="517">
        <f t="shared" si="54"/>
        <v>0</v>
      </c>
      <c r="Y80" s="517">
        <f t="shared" si="54"/>
        <v>0</v>
      </c>
      <c r="Z80" s="517">
        <f t="shared" si="54"/>
        <v>0</v>
      </c>
      <c r="AA80" s="517">
        <f t="shared" si="54"/>
        <v>0</v>
      </c>
      <c r="AB80" s="517">
        <f t="shared" si="54"/>
        <v>0</v>
      </c>
      <c r="AC80" s="517">
        <f t="shared" si="54"/>
        <v>0</v>
      </c>
      <c r="AD80" s="517">
        <f t="shared" si="54"/>
        <v>0</v>
      </c>
      <c r="AE80" s="518">
        <f t="shared" si="54"/>
        <v>0</v>
      </c>
      <c r="AF80" s="517">
        <f t="shared" si="54"/>
        <v>0</v>
      </c>
      <c r="AG80" s="517">
        <f t="shared" si="54"/>
        <v>0</v>
      </c>
      <c r="AH80" s="517">
        <f t="shared" si="54"/>
        <v>0</v>
      </c>
      <c r="AI80" s="517">
        <f t="shared" si="54"/>
        <v>0</v>
      </c>
      <c r="AJ80" s="517">
        <f t="shared" si="54"/>
        <v>0</v>
      </c>
      <c r="AK80" s="517">
        <f t="shared" si="54"/>
        <v>0</v>
      </c>
      <c r="AL80" s="517">
        <f t="shared" si="54"/>
        <v>0</v>
      </c>
      <c r="AM80" s="517">
        <f t="shared" si="54"/>
        <v>0</v>
      </c>
      <c r="AN80" s="517">
        <f t="shared" si="54"/>
        <v>0</v>
      </c>
      <c r="AO80" s="517">
        <f t="shared" si="54"/>
        <v>0</v>
      </c>
      <c r="AP80" s="517">
        <f t="shared" si="54"/>
        <v>0</v>
      </c>
      <c r="AQ80" s="517">
        <f t="shared" si="54"/>
        <v>0</v>
      </c>
      <c r="AR80" s="518">
        <f t="shared" si="54"/>
        <v>0</v>
      </c>
      <c r="AS80" s="428"/>
    </row>
    <row r="81" spans="2:45" ht="7.5" customHeight="1" x14ac:dyDescent="0.2">
      <c r="B81" s="175"/>
      <c r="C81" s="386"/>
      <c r="D81" s="54"/>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377"/>
      <c r="AR81" s="385"/>
      <c r="AS81" s="175"/>
    </row>
    <row r="82" spans="2:45" x14ac:dyDescent="0.2">
      <c r="B82" s="175"/>
      <c r="C82" s="539" t="s">
        <v>520</v>
      </c>
      <c r="D82" s="108"/>
      <c r="E82" s="400"/>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18"/>
      <c r="AS82" s="175"/>
    </row>
    <row r="83" spans="2:45" x14ac:dyDescent="0.2">
      <c r="B83" s="175"/>
      <c r="C83" s="542" t="s">
        <v>93</v>
      </c>
      <c r="D83" s="54"/>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85"/>
      <c r="AS83" s="175"/>
    </row>
    <row r="84" spans="2:45" x14ac:dyDescent="0.2">
      <c r="B84" s="175"/>
      <c r="C84" s="542" t="s">
        <v>94</v>
      </c>
      <c r="D84" s="54"/>
      <c r="E84" s="377">
        <f>E33</f>
        <v>0</v>
      </c>
      <c r="F84" s="377">
        <f t="shared" ref="F84:AR84" si="55">E85+F33</f>
        <v>0</v>
      </c>
      <c r="G84" s="377">
        <f t="shared" si="55"/>
        <v>0</v>
      </c>
      <c r="H84" s="377">
        <f t="shared" si="55"/>
        <v>0</v>
      </c>
      <c r="I84" s="377">
        <f t="shared" si="55"/>
        <v>0</v>
      </c>
      <c r="J84" s="377">
        <f t="shared" si="55"/>
        <v>0</v>
      </c>
      <c r="K84" s="377">
        <f t="shared" si="55"/>
        <v>0</v>
      </c>
      <c r="L84" s="377">
        <f t="shared" si="55"/>
        <v>0</v>
      </c>
      <c r="M84" s="377">
        <f t="shared" si="55"/>
        <v>0</v>
      </c>
      <c r="N84" s="377">
        <f t="shared" si="55"/>
        <v>0</v>
      </c>
      <c r="O84" s="377">
        <f t="shared" si="55"/>
        <v>0</v>
      </c>
      <c r="P84" s="377">
        <f t="shared" si="55"/>
        <v>0</v>
      </c>
      <c r="Q84" s="377">
        <f t="shared" si="55"/>
        <v>0</v>
      </c>
      <c r="R84" s="377">
        <f t="shared" si="55"/>
        <v>0</v>
      </c>
      <c r="S84" s="377">
        <f t="shared" si="55"/>
        <v>0</v>
      </c>
      <c r="T84" s="377">
        <f t="shared" si="55"/>
        <v>0</v>
      </c>
      <c r="U84" s="377">
        <f t="shared" si="55"/>
        <v>0</v>
      </c>
      <c r="V84" s="377">
        <f t="shared" si="55"/>
        <v>0</v>
      </c>
      <c r="W84" s="377">
        <f t="shared" si="55"/>
        <v>0</v>
      </c>
      <c r="X84" s="377">
        <f t="shared" si="55"/>
        <v>0</v>
      </c>
      <c r="Y84" s="377">
        <f t="shared" si="55"/>
        <v>0</v>
      </c>
      <c r="Z84" s="377">
        <f t="shared" si="55"/>
        <v>0</v>
      </c>
      <c r="AA84" s="377">
        <f t="shared" si="55"/>
        <v>0</v>
      </c>
      <c r="AB84" s="377">
        <f t="shared" si="55"/>
        <v>0</v>
      </c>
      <c r="AC84" s="377">
        <f t="shared" si="55"/>
        <v>0</v>
      </c>
      <c r="AD84" s="377">
        <f t="shared" si="55"/>
        <v>0</v>
      </c>
      <c r="AE84" s="377">
        <f t="shared" si="55"/>
        <v>0</v>
      </c>
      <c r="AF84" s="377">
        <f t="shared" si="55"/>
        <v>0</v>
      </c>
      <c r="AG84" s="377">
        <f t="shared" si="55"/>
        <v>0</v>
      </c>
      <c r="AH84" s="377">
        <f t="shared" si="55"/>
        <v>0</v>
      </c>
      <c r="AI84" s="377">
        <f t="shared" si="55"/>
        <v>0</v>
      </c>
      <c r="AJ84" s="377">
        <f t="shared" si="55"/>
        <v>0</v>
      </c>
      <c r="AK84" s="377">
        <f t="shared" si="55"/>
        <v>0</v>
      </c>
      <c r="AL84" s="377">
        <f t="shared" si="55"/>
        <v>0</v>
      </c>
      <c r="AM84" s="377">
        <f t="shared" si="55"/>
        <v>0</v>
      </c>
      <c r="AN84" s="377">
        <f t="shared" si="55"/>
        <v>0</v>
      </c>
      <c r="AO84" s="377">
        <f t="shared" si="55"/>
        <v>0</v>
      </c>
      <c r="AP84" s="377">
        <f t="shared" si="55"/>
        <v>0</v>
      </c>
      <c r="AQ84" s="377">
        <f t="shared" si="55"/>
        <v>0</v>
      </c>
      <c r="AR84" s="385">
        <f t="shared" si="55"/>
        <v>0</v>
      </c>
      <c r="AS84" s="175"/>
    </row>
    <row r="85" spans="2:45" s="186" customFormat="1" x14ac:dyDescent="0.2">
      <c r="B85" s="428"/>
      <c r="C85" s="550" t="s">
        <v>521</v>
      </c>
      <c r="D85" s="516"/>
      <c r="E85" s="517">
        <f>SUM(E83:E84)</f>
        <v>0</v>
      </c>
      <c r="F85" s="517">
        <f>SUM(F83:F84)</f>
        <v>0</v>
      </c>
      <c r="G85" s="517">
        <f t="shared" ref="G85:I85" si="56">SUM(G83:G84)</f>
        <v>0</v>
      </c>
      <c r="H85" s="517">
        <f t="shared" si="56"/>
        <v>0</v>
      </c>
      <c r="I85" s="517">
        <f t="shared" si="56"/>
        <v>0</v>
      </c>
      <c r="J85" s="517">
        <f t="shared" ref="J85:AR85" si="57">SUM(J83:J84)</f>
        <v>0</v>
      </c>
      <c r="K85" s="517">
        <f t="shared" si="57"/>
        <v>0</v>
      </c>
      <c r="L85" s="517">
        <f t="shared" si="57"/>
        <v>0</v>
      </c>
      <c r="M85" s="517">
        <f t="shared" si="57"/>
        <v>0</v>
      </c>
      <c r="N85" s="517">
        <f t="shared" si="57"/>
        <v>0</v>
      </c>
      <c r="O85" s="517">
        <f t="shared" si="57"/>
        <v>0</v>
      </c>
      <c r="P85" s="517">
        <f t="shared" si="57"/>
        <v>0</v>
      </c>
      <c r="Q85" s="517">
        <f t="shared" si="57"/>
        <v>0</v>
      </c>
      <c r="R85" s="517">
        <f t="shared" si="57"/>
        <v>0</v>
      </c>
      <c r="S85" s="517">
        <f t="shared" si="57"/>
        <v>0</v>
      </c>
      <c r="T85" s="517">
        <f t="shared" si="57"/>
        <v>0</v>
      </c>
      <c r="U85" s="517">
        <f t="shared" si="57"/>
        <v>0</v>
      </c>
      <c r="V85" s="517">
        <f t="shared" si="57"/>
        <v>0</v>
      </c>
      <c r="W85" s="517">
        <f t="shared" si="57"/>
        <v>0</v>
      </c>
      <c r="X85" s="517">
        <f t="shared" si="57"/>
        <v>0</v>
      </c>
      <c r="Y85" s="517">
        <f t="shared" si="57"/>
        <v>0</v>
      </c>
      <c r="Z85" s="517">
        <f t="shared" si="57"/>
        <v>0</v>
      </c>
      <c r="AA85" s="517">
        <f t="shared" si="57"/>
        <v>0</v>
      </c>
      <c r="AB85" s="517">
        <f t="shared" si="57"/>
        <v>0</v>
      </c>
      <c r="AC85" s="517">
        <f t="shared" si="57"/>
        <v>0</v>
      </c>
      <c r="AD85" s="517">
        <f t="shared" si="57"/>
        <v>0</v>
      </c>
      <c r="AE85" s="517">
        <f t="shared" si="57"/>
        <v>0</v>
      </c>
      <c r="AF85" s="517">
        <f t="shared" si="57"/>
        <v>0</v>
      </c>
      <c r="AG85" s="517">
        <f t="shared" si="57"/>
        <v>0</v>
      </c>
      <c r="AH85" s="517">
        <f t="shared" si="57"/>
        <v>0</v>
      </c>
      <c r="AI85" s="517">
        <f t="shared" si="57"/>
        <v>0</v>
      </c>
      <c r="AJ85" s="517">
        <f t="shared" si="57"/>
        <v>0</v>
      </c>
      <c r="AK85" s="517">
        <f t="shared" si="57"/>
        <v>0</v>
      </c>
      <c r="AL85" s="517">
        <f t="shared" si="57"/>
        <v>0</v>
      </c>
      <c r="AM85" s="517">
        <f t="shared" si="57"/>
        <v>0</v>
      </c>
      <c r="AN85" s="517">
        <f t="shared" si="57"/>
        <v>0</v>
      </c>
      <c r="AO85" s="517">
        <f t="shared" si="57"/>
        <v>0</v>
      </c>
      <c r="AP85" s="517">
        <f t="shared" si="57"/>
        <v>0</v>
      </c>
      <c r="AQ85" s="517">
        <f t="shared" si="57"/>
        <v>0</v>
      </c>
      <c r="AR85" s="518">
        <f t="shared" si="57"/>
        <v>0</v>
      </c>
      <c r="AS85" s="428"/>
    </row>
    <row r="86" spans="2:45" ht="7.5" customHeight="1" x14ac:dyDescent="0.2">
      <c r="B86" s="175"/>
      <c r="C86" s="386"/>
      <c r="D86" s="54"/>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77"/>
      <c r="AO86" s="377"/>
      <c r="AP86" s="377"/>
      <c r="AQ86" s="377"/>
      <c r="AR86" s="385"/>
      <c r="AS86" s="175"/>
    </row>
    <row r="87" spans="2:45" s="171" customFormat="1" ht="13.5" thickBot="1" x14ac:dyDescent="0.25">
      <c r="B87" s="375"/>
      <c r="C87" s="519" t="s">
        <v>95</v>
      </c>
      <c r="D87" s="109"/>
      <c r="E87" s="401">
        <f>E80+E85</f>
        <v>0</v>
      </c>
      <c r="F87" s="401">
        <f>F80+F85</f>
        <v>0</v>
      </c>
      <c r="G87" s="401">
        <f t="shared" ref="G87:I87" si="58">G80+G85</f>
        <v>0</v>
      </c>
      <c r="H87" s="401">
        <f t="shared" si="58"/>
        <v>0</v>
      </c>
      <c r="I87" s="401">
        <f t="shared" si="58"/>
        <v>0</v>
      </c>
      <c r="J87" s="401">
        <f t="shared" ref="J87:AR87" si="59">J80+J85</f>
        <v>0</v>
      </c>
      <c r="K87" s="401">
        <f t="shared" si="59"/>
        <v>0</v>
      </c>
      <c r="L87" s="401">
        <f t="shared" si="59"/>
        <v>0</v>
      </c>
      <c r="M87" s="401">
        <f t="shared" si="59"/>
        <v>0</v>
      </c>
      <c r="N87" s="401">
        <f t="shared" si="59"/>
        <v>0</v>
      </c>
      <c r="O87" s="401">
        <f t="shared" si="59"/>
        <v>0</v>
      </c>
      <c r="P87" s="401">
        <f t="shared" si="59"/>
        <v>0</v>
      </c>
      <c r="Q87" s="401">
        <f t="shared" si="59"/>
        <v>0</v>
      </c>
      <c r="R87" s="401">
        <f t="shared" si="59"/>
        <v>0</v>
      </c>
      <c r="S87" s="401">
        <f t="shared" si="59"/>
        <v>0</v>
      </c>
      <c r="T87" s="401">
        <f t="shared" si="59"/>
        <v>0</v>
      </c>
      <c r="U87" s="401">
        <f t="shared" si="59"/>
        <v>0</v>
      </c>
      <c r="V87" s="401">
        <f t="shared" si="59"/>
        <v>0</v>
      </c>
      <c r="W87" s="401">
        <f t="shared" si="59"/>
        <v>0</v>
      </c>
      <c r="X87" s="401">
        <f t="shared" si="59"/>
        <v>0</v>
      </c>
      <c r="Y87" s="401">
        <f t="shared" si="59"/>
        <v>0</v>
      </c>
      <c r="Z87" s="401">
        <f t="shared" si="59"/>
        <v>0</v>
      </c>
      <c r="AA87" s="401">
        <f t="shared" si="59"/>
        <v>0</v>
      </c>
      <c r="AB87" s="401">
        <f t="shared" si="59"/>
        <v>0</v>
      </c>
      <c r="AC87" s="401">
        <f t="shared" si="59"/>
        <v>0</v>
      </c>
      <c r="AD87" s="401">
        <f t="shared" si="59"/>
        <v>0</v>
      </c>
      <c r="AE87" s="401">
        <f t="shared" si="59"/>
        <v>0</v>
      </c>
      <c r="AF87" s="401">
        <f t="shared" si="59"/>
        <v>0</v>
      </c>
      <c r="AG87" s="401">
        <f t="shared" si="59"/>
        <v>0</v>
      </c>
      <c r="AH87" s="401">
        <f t="shared" si="59"/>
        <v>0</v>
      </c>
      <c r="AI87" s="401">
        <f t="shared" si="59"/>
        <v>0</v>
      </c>
      <c r="AJ87" s="401">
        <f t="shared" si="59"/>
        <v>0</v>
      </c>
      <c r="AK87" s="401">
        <f t="shared" si="59"/>
        <v>0</v>
      </c>
      <c r="AL87" s="401">
        <f t="shared" si="59"/>
        <v>0</v>
      </c>
      <c r="AM87" s="401">
        <f t="shared" si="59"/>
        <v>0</v>
      </c>
      <c r="AN87" s="401">
        <f t="shared" si="59"/>
        <v>0</v>
      </c>
      <c r="AO87" s="401">
        <f t="shared" si="59"/>
        <v>0</v>
      </c>
      <c r="AP87" s="401">
        <f t="shared" si="59"/>
        <v>0</v>
      </c>
      <c r="AQ87" s="401">
        <f t="shared" si="59"/>
        <v>0</v>
      </c>
      <c r="AR87" s="520">
        <f t="shared" si="59"/>
        <v>0</v>
      </c>
      <c r="AS87" s="375"/>
    </row>
    <row r="88" spans="2:45" ht="13.5" thickTop="1" x14ac:dyDescent="0.2">
      <c r="B88" s="175"/>
      <c r="C88" s="386"/>
      <c r="D88" s="54"/>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7"/>
      <c r="AQ88" s="377"/>
      <c r="AR88" s="385"/>
      <c r="AS88" s="175"/>
    </row>
    <row r="89" spans="2:45" x14ac:dyDescent="0.2">
      <c r="B89" s="175"/>
      <c r="C89" s="551" t="s">
        <v>524</v>
      </c>
      <c r="D89" s="190"/>
      <c r="E89" s="552"/>
      <c r="F89" s="552"/>
      <c r="G89" s="552"/>
      <c r="H89" s="552"/>
      <c r="I89" s="552"/>
      <c r="J89" s="552"/>
      <c r="K89" s="552"/>
      <c r="L89" s="552"/>
      <c r="M89" s="552"/>
      <c r="N89" s="552"/>
      <c r="O89" s="552"/>
      <c r="P89" s="552"/>
      <c r="Q89" s="552"/>
      <c r="R89" s="552"/>
      <c r="S89" s="552"/>
      <c r="T89" s="552"/>
      <c r="U89" s="552"/>
      <c r="V89" s="552"/>
      <c r="W89" s="552"/>
      <c r="X89" s="552"/>
      <c r="Y89" s="552"/>
      <c r="Z89" s="552"/>
      <c r="AA89" s="552"/>
      <c r="AB89" s="552"/>
      <c r="AC89" s="552"/>
      <c r="AD89" s="552"/>
      <c r="AE89" s="552"/>
      <c r="AF89" s="552"/>
      <c r="AG89" s="552"/>
      <c r="AH89" s="552"/>
      <c r="AI89" s="552"/>
      <c r="AJ89" s="552"/>
      <c r="AK89" s="552"/>
      <c r="AL89" s="552"/>
      <c r="AM89" s="552"/>
      <c r="AN89" s="552"/>
      <c r="AO89" s="552"/>
      <c r="AP89" s="552"/>
      <c r="AQ89" s="552"/>
      <c r="AR89" s="553"/>
      <c r="AS89" s="175"/>
    </row>
    <row r="90" spans="2:45" x14ac:dyDescent="0.2">
      <c r="B90" s="175"/>
      <c r="C90" s="539" t="s">
        <v>525</v>
      </c>
      <c r="D90" s="108"/>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18"/>
      <c r="AS90" s="175"/>
    </row>
    <row r="91" spans="2:45" x14ac:dyDescent="0.2">
      <c r="B91" s="175"/>
      <c r="C91" s="542" t="s">
        <v>96</v>
      </c>
      <c r="D91" s="54"/>
      <c r="E91" s="377">
        <f>'Tariff Inputs'!D84</f>
        <v>0</v>
      </c>
      <c r="F91" s="377">
        <f>E91+'Tariff Calculator'!F18</f>
        <v>0</v>
      </c>
      <c r="G91" s="377">
        <f>F91+'Tariff Calculator'!G18</f>
        <v>0</v>
      </c>
      <c r="H91" s="377">
        <f>G91+'Tariff Calculator'!H18</f>
        <v>0</v>
      </c>
      <c r="I91" s="377">
        <f>H91+'Tariff Calculator'!I18</f>
        <v>0</v>
      </c>
      <c r="J91" s="377">
        <f>I91+'Tariff Calculator'!J18</f>
        <v>0</v>
      </c>
      <c r="K91" s="377">
        <f>J91+'Tariff Calculator'!K18</f>
        <v>0</v>
      </c>
      <c r="L91" s="377">
        <f>K91+'Tariff Calculator'!L18</f>
        <v>0</v>
      </c>
      <c r="M91" s="377">
        <f>L91+'Tariff Calculator'!M18</f>
        <v>0</v>
      </c>
      <c r="N91" s="377">
        <f>M91+'Tariff Calculator'!N18</f>
        <v>0</v>
      </c>
      <c r="O91" s="377">
        <f>N91+'Tariff Calculator'!O18</f>
        <v>0</v>
      </c>
      <c r="P91" s="377">
        <f>O91+'Tariff Calculator'!P18</f>
        <v>0</v>
      </c>
      <c r="Q91" s="377">
        <f>P91+'Tariff Calculator'!Q18</f>
        <v>0</v>
      </c>
      <c r="R91" s="377">
        <f>Q91+'Tariff Calculator'!R18</f>
        <v>0</v>
      </c>
      <c r="S91" s="377">
        <f>R91+'Tariff Calculator'!S18</f>
        <v>0</v>
      </c>
      <c r="T91" s="377">
        <f>S91+'Tariff Calculator'!T18</f>
        <v>0</v>
      </c>
      <c r="U91" s="377">
        <f>T91+'Tariff Calculator'!U18</f>
        <v>0</v>
      </c>
      <c r="V91" s="377">
        <f>U91+'Tariff Calculator'!V18</f>
        <v>0</v>
      </c>
      <c r="W91" s="377">
        <f>V91+'Tariff Calculator'!W18</f>
        <v>0</v>
      </c>
      <c r="X91" s="377">
        <f>W91+'Tariff Calculator'!X18</f>
        <v>0</v>
      </c>
      <c r="Y91" s="377">
        <f>X91+'Tariff Calculator'!Y18</f>
        <v>0</v>
      </c>
      <c r="Z91" s="377">
        <f>Y91+'Tariff Calculator'!Z18</f>
        <v>0</v>
      </c>
      <c r="AA91" s="377">
        <f>Z91+'Tariff Calculator'!AA18</f>
        <v>0</v>
      </c>
      <c r="AB91" s="377">
        <f>AA91+'Tariff Calculator'!AB18</f>
        <v>0</v>
      </c>
      <c r="AC91" s="377">
        <f>AB91+'Tariff Calculator'!AC18</f>
        <v>0</v>
      </c>
      <c r="AD91" s="377">
        <f>AC91+'Tariff Calculator'!AD18</f>
        <v>0</v>
      </c>
      <c r="AE91" s="377">
        <f>AD91+'Tariff Calculator'!AE18</f>
        <v>0</v>
      </c>
      <c r="AF91" s="377">
        <f>AE91+'Tariff Calculator'!AF18</f>
        <v>0</v>
      </c>
      <c r="AG91" s="377">
        <f>AF91+'Tariff Calculator'!AG18</f>
        <v>0</v>
      </c>
      <c r="AH91" s="377">
        <f>AG91+'Tariff Calculator'!AH18</f>
        <v>0</v>
      </c>
      <c r="AI91" s="377">
        <f>AH91+'Tariff Calculator'!AI18</f>
        <v>0</v>
      </c>
      <c r="AJ91" s="377">
        <f>AI91+'Tariff Calculator'!AJ18</f>
        <v>0</v>
      </c>
      <c r="AK91" s="377">
        <f>AJ91+'Tariff Calculator'!AK18</f>
        <v>0</v>
      </c>
      <c r="AL91" s="377">
        <f>AK91+'Tariff Calculator'!AL18</f>
        <v>0</v>
      </c>
      <c r="AM91" s="377">
        <f>AL91+'Tariff Calculator'!AM18</f>
        <v>0</v>
      </c>
      <c r="AN91" s="377">
        <f>AM91+'Tariff Calculator'!AN18</f>
        <v>0</v>
      </c>
      <c r="AO91" s="377">
        <f>AN91+'Tariff Calculator'!AO18</f>
        <v>0</v>
      </c>
      <c r="AP91" s="377">
        <f>AO91+'Tariff Calculator'!AP18</f>
        <v>0</v>
      </c>
      <c r="AQ91" s="377">
        <f>AP91+'Tariff Calculator'!AQ18</f>
        <v>0</v>
      </c>
      <c r="AR91" s="385">
        <f>AQ91+'Tariff Calculator'!AR18</f>
        <v>0</v>
      </c>
      <c r="AS91" s="175"/>
    </row>
    <row r="92" spans="2:45" x14ac:dyDescent="0.2">
      <c r="B92" s="175"/>
      <c r="C92" s="542" t="s">
        <v>103</v>
      </c>
      <c r="D92" s="54"/>
      <c r="E92" s="377">
        <f>'Tariff Calculator'!E20</f>
        <v>0</v>
      </c>
      <c r="F92" s="377">
        <f>'Tariff Calculator'!F20</f>
        <v>0</v>
      </c>
      <c r="G92" s="377">
        <f>'Tariff Calculator'!G20</f>
        <v>0</v>
      </c>
      <c r="H92" s="377">
        <f>'Tariff Calculator'!H20</f>
        <v>0</v>
      </c>
      <c r="I92" s="377">
        <f>'Tariff Calculator'!I20</f>
        <v>0</v>
      </c>
      <c r="J92" s="377">
        <f>'Tariff Calculator'!J20</f>
        <v>0</v>
      </c>
      <c r="K92" s="377">
        <f>'Tariff Calculator'!K20</f>
        <v>0</v>
      </c>
      <c r="L92" s="377">
        <f>'Tariff Calculator'!L20</f>
        <v>0</v>
      </c>
      <c r="M92" s="377">
        <f>'Tariff Calculator'!M20</f>
        <v>0</v>
      </c>
      <c r="N92" s="377">
        <f>'Tariff Calculator'!N20</f>
        <v>0</v>
      </c>
      <c r="O92" s="377">
        <f>'Tariff Calculator'!O20</f>
        <v>0</v>
      </c>
      <c r="P92" s="377">
        <f>'Tariff Calculator'!P20</f>
        <v>0</v>
      </c>
      <c r="Q92" s="377">
        <f>'Tariff Calculator'!Q20</f>
        <v>0</v>
      </c>
      <c r="R92" s="377">
        <f>'Tariff Calculator'!R20</f>
        <v>0</v>
      </c>
      <c r="S92" s="377">
        <f>'Tariff Calculator'!S20</f>
        <v>0</v>
      </c>
      <c r="T92" s="377">
        <f>'Tariff Calculator'!T20</f>
        <v>0</v>
      </c>
      <c r="U92" s="377">
        <f>'Tariff Calculator'!U20</f>
        <v>0</v>
      </c>
      <c r="V92" s="377">
        <f>'Tariff Calculator'!V20</f>
        <v>0</v>
      </c>
      <c r="W92" s="377">
        <f>'Tariff Calculator'!W20</f>
        <v>0</v>
      </c>
      <c r="X92" s="377">
        <f>'Tariff Calculator'!X20</f>
        <v>0</v>
      </c>
      <c r="Y92" s="377">
        <f>'Tariff Calculator'!Y20</f>
        <v>0</v>
      </c>
      <c r="Z92" s="377">
        <f>'Tariff Calculator'!Z20</f>
        <v>0</v>
      </c>
      <c r="AA92" s="377">
        <f>'Tariff Calculator'!AA20</f>
        <v>0</v>
      </c>
      <c r="AB92" s="377">
        <f>'Tariff Calculator'!AB20</f>
        <v>0</v>
      </c>
      <c r="AC92" s="377">
        <f>'Tariff Calculator'!AC20</f>
        <v>0</v>
      </c>
      <c r="AD92" s="377">
        <f>'Tariff Calculator'!AD20</f>
        <v>0</v>
      </c>
      <c r="AE92" s="377">
        <f>'Tariff Calculator'!AE20</f>
        <v>0</v>
      </c>
      <c r="AF92" s="377">
        <f>'Tariff Calculator'!AF20</f>
        <v>0</v>
      </c>
      <c r="AG92" s="377">
        <f>'Tariff Calculator'!AG20</f>
        <v>0</v>
      </c>
      <c r="AH92" s="377">
        <f>'Tariff Calculator'!AH20</f>
        <v>0</v>
      </c>
      <c r="AI92" s="377">
        <f>'Tariff Calculator'!AI20</f>
        <v>0</v>
      </c>
      <c r="AJ92" s="377">
        <f>'Tariff Calculator'!AJ20</f>
        <v>0</v>
      </c>
      <c r="AK92" s="377">
        <f>'Tariff Calculator'!AK20</f>
        <v>0</v>
      </c>
      <c r="AL92" s="377">
        <f>'Tariff Calculator'!AL20</f>
        <v>0</v>
      </c>
      <c r="AM92" s="377">
        <f>'Tariff Calculator'!AM20</f>
        <v>0</v>
      </c>
      <c r="AN92" s="377">
        <f>'Tariff Calculator'!AN20</f>
        <v>0</v>
      </c>
      <c r="AO92" s="377">
        <f>'Tariff Calculator'!AO20</f>
        <v>0</v>
      </c>
      <c r="AP92" s="377">
        <f>'Tariff Calculator'!AP20</f>
        <v>0</v>
      </c>
      <c r="AQ92" s="377">
        <f>'Tariff Calculator'!AQ20</f>
        <v>0</v>
      </c>
      <c r="AR92" s="385">
        <f>'Tariff Calculator'!AR20</f>
        <v>0</v>
      </c>
      <c r="AS92" s="175"/>
    </row>
    <row r="93" spans="2:45" x14ac:dyDescent="0.2">
      <c r="B93" s="175"/>
      <c r="C93" s="542" t="s">
        <v>97</v>
      </c>
      <c r="D93" s="54"/>
      <c r="E93" s="377">
        <f>E22</f>
        <v>0</v>
      </c>
      <c r="F93" s="377">
        <f t="shared" ref="F93:AR93" si="60">E93+F22</f>
        <v>0</v>
      </c>
      <c r="G93" s="377">
        <f t="shared" si="60"/>
        <v>0</v>
      </c>
      <c r="H93" s="377">
        <f t="shared" si="60"/>
        <v>0</v>
      </c>
      <c r="I93" s="377">
        <f t="shared" si="60"/>
        <v>0</v>
      </c>
      <c r="J93" s="377">
        <f t="shared" si="60"/>
        <v>0</v>
      </c>
      <c r="K93" s="377">
        <f t="shared" si="60"/>
        <v>0</v>
      </c>
      <c r="L93" s="377">
        <f t="shared" si="60"/>
        <v>0</v>
      </c>
      <c r="M93" s="377">
        <f t="shared" si="60"/>
        <v>0</v>
      </c>
      <c r="N93" s="377">
        <f t="shared" si="60"/>
        <v>0</v>
      </c>
      <c r="O93" s="377">
        <f t="shared" si="60"/>
        <v>0</v>
      </c>
      <c r="P93" s="377">
        <f t="shared" si="60"/>
        <v>0</v>
      </c>
      <c r="Q93" s="377">
        <f t="shared" si="60"/>
        <v>0</v>
      </c>
      <c r="R93" s="377">
        <f t="shared" si="60"/>
        <v>0</v>
      </c>
      <c r="S93" s="377">
        <f t="shared" si="60"/>
        <v>0</v>
      </c>
      <c r="T93" s="377">
        <f t="shared" si="60"/>
        <v>0</v>
      </c>
      <c r="U93" s="377">
        <f t="shared" si="60"/>
        <v>0</v>
      </c>
      <c r="V93" s="377">
        <f t="shared" si="60"/>
        <v>0</v>
      </c>
      <c r="W93" s="377">
        <f t="shared" si="60"/>
        <v>0</v>
      </c>
      <c r="X93" s="377">
        <f t="shared" si="60"/>
        <v>0</v>
      </c>
      <c r="Y93" s="377">
        <f t="shared" si="60"/>
        <v>0</v>
      </c>
      <c r="Z93" s="377">
        <f t="shared" si="60"/>
        <v>0</v>
      </c>
      <c r="AA93" s="377">
        <f t="shared" si="60"/>
        <v>0</v>
      </c>
      <c r="AB93" s="377">
        <f t="shared" si="60"/>
        <v>0</v>
      </c>
      <c r="AC93" s="377">
        <f t="shared" si="60"/>
        <v>0</v>
      </c>
      <c r="AD93" s="377">
        <f t="shared" si="60"/>
        <v>0</v>
      </c>
      <c r="AE93" s="377">
        <f t="shared" si="60"/>
        <v>0</v>
      </c>
      <c r="AF93" s="377">
        <f t="shared" si="60"/>
        <v>0</v>
      </c>
      <c r="AG93" s="377">
        <f t="shared" si="60"/>
        <v>0</v>
      </c>
      <c r="AH93" s="377">
        <f t="shared" si="60"/>
        <v>0</v>
      </c>
      <c r="AI93" s="377">
        <f t="shared" si="60"/>
        <v>0</v>
      </c>
      <c r="AJ93" s="377">
        <f t="shared" si="60"/>
        <v>0</v>
      </c>
      <c r="AK93" s="377">
        <f t="shared" si="60"/>
        <v>0</v>
      </c>
      <c r="AL93" s="377">
        <f t="shared" si="60"/>
        <v>0</v>
      </c>
      <c r="AM93" s="377">
        <f t="shared" si="60"/>
        <v>0</v>
      </c>
      <c r="AN93" s="377">
        <f t="shared" si="60"/>
        <v>0</v>
      </c>
      <c r="AO93" s="377">
        <f t="shared" si="60"/>
        <v>0</v>
      </c>
      <c r="AP93" s="377">
        <f t="shared" si="60"/>
        <v>0</v>
      </c>
      <c r="AQ93" s="377">
        <f t="shared" si="60"/>
        <v>0</v>
      </c>
      <c r="AR93" s="385">
        <f t="shared" si="60"/>
        <v>0</v>
      </c>
      <c r="AS93" s="175"/>
    </row>
    <row r="94" spans="2:45" s="186" customFormat="1" x14ac:dyDescent="0.2">
      <c r="B94" s="428"/>
      <c r="C94" s="550" t="s">
        <v>526</v>
      </c>
      <c r="D94" s="516"/>
      <c r="E94" s="517">
        <f>SUM(E91:E93)</f>
        <v>0</v>
      </c>
      <c r="F94" s="517">
        <f>SUM(F91:F93)</f>
        <v>0</v>
      </c>
      <c r="G94" s="517">
        <f>SUM(G91:G93)</f>
        <v>0</v>
      </c>
      <c r="H94" s="517">
        <f>SUM(H91:H93)</f>
        <v>0</v>
      </c>
      <c r="I94" s="517">
        <f>SUM(I91:I93)</f>
        <v>0</v>
      </c>
      <c r="J94" s="517">
        <f t="shared" ref="J94:AR94" si="61">SUM(J91:J93)</f>
        <v>0</v>
      </c>
      <c r="K94" s="517">
        <f t="shared" si="61"/>
        <v>0</v>
      </c>
      <c r="L94" s="517">
        <f t="shared" si="61"/>
        <v>0</v>
      </c>
      <c r="M94" s="517">
        <f t="shared" si="61"/>
        <v>0</v>
      </c>
      <c r="N94" s="517">
        <f t="shared" si="61"/>
        <v>0</v>
      </c>
      <c r="O94" s="517">
        <f t="shared" si="61"/>
        <v>0</v>
      </c>
      <c r="P94" s="517">
        <f t="shared" si="61"/>
        <v>0</v>
      </c>
      <c r="Q94" s="517">
        <f t="shared" si="61"/>
        <v>0</v>
      </c>
      <c r="R94" s="517">
        <f t="shared" si="61"/>
        <v>0</v>
      </c>
      <c r="S94" s="517">
        <f t="shared" si="61"/>
        <v>0</v>
      </c>
      <c r="T94" s="517">
        <f t="shared" si="61"/>
        <v>0</v>
      </c>
      <c r="U94" s="517">
        <f t="shared" si="61"/>
        <v>0</v>
      </c>
      <c r="V94" s="517">
        <f t="shared" si="61"/>
        <v>0</v>
      </c>
      <c r="W94" s="517">
        <f t="shared" si="61"/>
        <v>0</v>
      </c>
      <c r="X94" s="517">
        <f t="shared" si="61"/>
        <v>0</v>
      </c>
      <c r="Y94" s="517">
        <f t="shared" si="61"/>
        <v>0</v>
      </c>
      <c r="Z94" s="517">
        <f t="shared" si="61"/>
        <v>0</v>
      </c>
      <c r="AA94" s="517">
        <f t="shared" si="61"/>
        <v>0</v>
      </c>
      <c r="AB94" s="517">
        <f t="shared" si="61"/>
        <v>0</v>
      </c>
      <c r="AC94" s="517">
        <f t="shared" si="61"/>
        <v>0</v>
      </c>
      <c r="AD94" s="517">
        <f t="shared" si="61"/>
        <v>0</v>
      </c>
      <c r="AE94" s="517">
        <f t="shared" si="61"/>
        <v>0</v>
      </c>
      <c r="AF94" s="517">
        <f t="shared" si="61"/>
        <v>0</v>
      </c>
      <c r="AG94" s="517">
        <f t="shared" si="61"/>
        <v>0</v>
      </c>
      <c r="AH94" s="517">
        <f t="shared" si="61"/>
        <v>0</v>
      </c>
      <c r="AI94" s="517">
        <f t="shared" si="61"/>
        <v>0</v>
      </c>
      <c r="AJ94" s="517">
        <f t="shared" si="61"/>
        <v>0</v>
      </c>
      <c r="AK94" s="517">
        <f t="shared" si="61"/>
        <v>0</v>
      </c>
      <c r="AL94" s="517">
        <f t="shared" si="61"/>
        <v>0</v>
      </c>
      <c r="AM94" s="517">
        <f t="shared" si="61"/>
        <v>0</v>
      </c>
      <c r="AN94" s="517">
        <f t="shared" si="61"/>
        <v>0</v>
      </c>
      <c r="AO94" s="517">
        <f t="shared" si="61"/>
        <v>0</v>
      </c>
      <c r="AP94" s="517">
        <f t="shared" si="61"/>
        <v>0</v>
      </c>
      <c r="AQ94" s="517">
        <f t="shared" si="61"/>
        <v>0</v>
      </c>
      <c r="AR94" s="518">
        <f t="shared" si="61"/>
        <v>0</v>
      </c>
      <c r="AS94" s="428"/>
    </row>
    <row r="95" spans="2:45" ht="7.5" customHeight="1" x14ac:dyDescent="0.2">
      <c r="B95" s="175"/>
      <c r="C95" s="386"/>
      <c r="D95" s="54"/>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7"/>
      <c r="AQ95" s="377"/>
      <c r="AR95" s="385"/>
      <c r="AS95" s="175"/>
    </row>
    <row r="96" spans="2:45" x14ac:dyDescent="0.2">
      <c r="B96" s="175"/>
      <c r="C96" s="539" t="s">
        <v>527</v>
      </c>
      <c r="D96" s="108"/>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18"/>
      <c r="AS96" s="175"/>
    </row>
    <row r="97" spans="2:45" x14ac:dyDescent="0.2">
      <c r="B97" s="175"/>
      <c r="C97" s="542" t="s">
        <v>98</v>
      </c>
      <c r="D97" s="54"/>
      <c r="E97" s="377">
        <f>'Loan Repayment'!E21-E102</f>
        <v>0</v>
      </c>
      <c r="F97" s="377">
        <f>'Loan Repayment'!F21-F102</f>
        <v>0</v>
      </c>
      <c r="G97" s="377">
        <f>'Loan Repayment'!G21-G102</f>
        <v>0</v>
      </c>
      <c r="H97" s="377">
        <f>'Loan Repayment'!H21-H102</f>
        <v>0</v>
      </c>
      <c r="I97" s="377">
        <f>'Loan Repayment'!I21-I102</f>
        <v>0</v>
      </c>
      <c r="J97" s="377">
        <f>'Loan Repayment'!J21-J102</f>
        <v>0</v>
      </c>
      <c r="K97" s="377">
        <f>'Loan Repayment'!K21-K102</f>
        <v>0</v>
      </c>
      <c r="L97" s="377">
        <f>'Loan Repayment'!L21-L102</f>
        <v>0</v>
      </c>
      <c r="M97" s="377">
        <f>'Loan Repayment'!M21-M102</f>
        <v>0</v>
      </c>
      <c r="N97" s="377">
        <f>'Loan Repayment'!N21-N102</f>
        <v>0</v>
      </c>
      <c r="O97" s="377">
        <f>'Loan Repayment'!O21-O102</f>
        <v>0</v>
      </c>
      <c r="P97" s="377">
        <f>'Loan Repayment'!P21-P102</f>
        <v>0</v>
      </c>
      <c r="Q97" s="377">
        <f>'Loan Repayment'!Q21-Q102</f>
        <v>0</v>
      </c>
      <c r="R97" s="377">
        <f>'Loan Repayment'!R21-R102</f>
        <v>0</v>
      </c>
      <c r="S97" s="377">
        <f>'Loan Repayment'!S21-S102</f>
        <v>0</v>
      </c>
      <c r="T97" s="377">
        <f>'Loan Repayment'!T21-T102</f>
        <v>0</v>
      </c>
      <c r="U97" s="377">
        <f>'Loan Repayment'!U21-U102</f>
        <v>0</v>
      </c>
      <c r="V97" s="377">
        <f>'Loan Repayment'!V21-V102</f>
        <v>0</v>
      </c>
      <c r="W97" s="377">
        <f>'Loan Repayment'!W21-W102</f>
        <v>0</v>
      </c>
      <c r="X97" s="377">
        <f>'Loan Repayment'!X21-X102</f>
        <v>0</v>
      </c>
      <c r="Y97" s="377">
        <f>'Loan Repayment'!Y21-Y102</f>
        <v>0</v>
      </c>
      <c r="Z97" s="377">
        <f>'Loan Repayment'!Z21-Z102</f>
        <v>0</v>
      </c>
      <c r="AA97" s="377">
        <f>'Loan Repayment'!AA21-AA102</f>
        <v>0</v>
      </c>
      <c r="AB97" s="377">
        <f>'Loan Repayment'!AB21-AB102</f>
        <v>0</v>
      </c>
      <c r="AC97" s="377">
        <f>'Loan Repayment'!AC21-AC102</f>
        <v>0</v>
      </c>
      <c r="AD97" s="377">
        <f>'Loan Repayment'!AD21-AD102</f>
        <v>0</v>
      </c>
      <c r="AE97" s="377">
        <f>'Loan Repayment'!AE21-AE102</f>
        <v>0</v>
      </c>
      <c r="AF97" s="377">
        <f>'Loan Repayment'!AF21-AF102</f>
        <v>0</v>
      </c>
      <c r="AG97" s="377">
        <f>'Loan Repayment'!AG21-AG102</f>
        <v>0</v>
      </c>
      <c r="AH97" s="377">
        <f>'Loan Repayment'!AH21-AH102</f>
        <v>0</v>
      </c>
      <c r="AI97" s="377">
        <f>'Loan Repayment'!AI21-AI102</f>
        <v>0</v>
      </c>
      <c r="AJ97" s="377">
        <f>'Loan Repayment'!AJ21-AJ102</f>
        <v>0</v>
      </c>
      <c r="AK97" s="377">
        <f>'Loan Repayment'!AK21-AK102</f>
        <v>0</v>
      </c>
      <c r="AL97" s="377">
        <f>'Loan Repayment'!AL21-AL102</f>
        <v>0</v>
      </c>
      <c r="AM97" s="377">
        <f>'Loan Repayment'!AM21-AM102</f>
        <v>0</v>
      </c>
      <c r="AN97" s="377">
        <f>'Loan Repayment'!AN21-AN102</f>
        <v>0</v>
      </c>
      <c r="AO97" s="377">
        <f>'Loan Repayment'!AO21-AO102</f>
        <v>0</v>
      </c>
      <c r="AP97" s="377">
        <f>'Loan Repayment'!AP21-AP102</f>
        <v>0</v>
      </c>
      <c r="AQ97" s="377">
        <f>'Loan Repayment'!AQ21-AQ102</f>
        <v>0</v>
      </c>
      <c r="AR97" s="385">
        <f>'Loan Repayment'!AR21-AR102</f>
        <v>0</v>
      </c>
      <c r="AS97" s="175"/>
    </row>
    <row r="98" spans="2:45" x14ac:dyDescent="0.2">
      <c r="B98" s="175"/>
      <c r="C98" s="542" t="s">
        <v>99</v>
      </c>
      <c r="D98" s="54"/>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c r="AO98" s="377"/>
      <c r="AP98" s="377"/>
      <c r="AQ98" s="377"/>
      <c r="AR98" s="385"/>
      <c r="AS98" s="175"/>
    </row>
    <row r="99" spans="2:45" s="186" customFormat="1" x14ac:dyDescent="0.2">
      <c r="B99" s="428"/>
      <c r="C99" s="550" t="s">
        <v>528</v>
      </c>
      <c r="D99" s="516"/>
      <c r="E99" s="517">
        <f>SUM(E97:E98)</f>
        <v>0</v>
      </c>
      <c r="F99" s="517">
        <f>SUM(F97:F98)</f>
        <v>0</v>
      </c>
      <c r="G99" s="517">
        <f t="shared" ref="G99:AR99" si="62">SUM(G97:G98)</f>
        <v>0</v>
      </c>
      <c r="H99" s="517">
        <f t="shared" si="62"/>
        <v>0</v>
      </c>
      <c r="I99" s="517">
        <f t="shared" si="62"/>
        <v>0</v>
      </c>
      <c r="J99" s="517">
        <f t="shared" si="62"/>
        <v>0</v>
      </c>
      <c r="K99" s="517">
        <f t="shared" si="62"/>
        <v>0</v>
      </c>
      <c r="L99" s="517">
        <f t="shared" si="62"/>
        <v>0</v>
      </c>
      <c r="M99" s="517">
        <f t="shared" si="62"/>
        <v>0</v>
      </c>
      <c r="N99" s="517">
        <f t="shared" si="62"/>
        <v>0</v>
      </c>
      <c r="O99" s="517">
        <f t="shared" si="62"/>
        <v>0</v>
      </c>
      <c r="P99" s="517">
        <f t="shared" si="62"/>
        <v>0</v>
      </c>
      <c r="Q99" s="517">
        <f t="shared" si="62"/>
        <v>0</v>
      </c>
      <c r="R99" s="517">
        <f t="shared" si="62"/>
        <v>0</v>
      </c>
      <c r="S99" s="517">
        <f t="shared" si="62"/>
        <v>0</v>
      </c>
      <c r="T99" s="517">
        <f t="shared" si="62"/>
        <v>0</v>
      </c>
      <c r="U99" s="517">
        <f t="shared" si="62"/>
        <v>0</v>
      </c>
      <c r="V99" s="517">
        <f t="shared" si="62"/>
        <v>0</v>
      </c>
      <c r="W99" s="517">
        <f t="shared" si="62"/>
        <v>0</v>
      </c>
      <c r="X99" s="517">
        <f t="shared" si="62"/>
        <v>0</v>
      </c>
      <c r="Y99" s="517">
        <f t="shared" si="62"/>
        <v>0</v>
      </c>
      <c r="Z99" s="517">
        <f t="shared" si="62"/>
        <v>0</v>
      </c>
      <c r="AA99" s="517">
        <f t="shared" si="62"/>
        <v>0</v>
      </c>
      <c r="AB99" s="517">
        <f t="shared" si="62"/>
        <v>0</v>
      </c>
      <c r="AC99" s="517">
        <f t="shared" si="62"/>
        <v>0</v>
      </c>
      <c r="AD99" s="517">
        <f t="shared" si="62"/>
        <v>0</v>
      </c>
      <c r="AE99" s="517">
        <f t="shared" si="62"/>
        <v>0</v>
      </c>
      <c r="AF99" s="517">
        <f t="shared" si="62"/>
        <v>0</v>
      </c>
      <c r="AG99" s="517">
        <f t="shared" si="62"/>
        <v>0</v>
      </c>
      <c r="AH99" s="517">
        <f t="shared" si="62"/>
        <v>0</v>
      </c>
      <c r="AI99" s="517">
        <f t="shared" si="62"/>
        <v>0</v>
      </c>
      <c r="AJ99" s="517">
        <f t="shared" si="62"/>
        <v>0</v>
      </c>
      <c r="AK99" s="517">
        <f t="shared" si="62"/>
        <v>0</v>
      </c>
      <c r="AL99" s="517">
        <f t="shared" si="62"/>
        <v>0</v>
      </c>
      <c r="AM99" s="517">
        <f t="shared" si="62"/>
        <v>0</v>
      </c>
      <c r="AN99" s="517">
        <f t="shared" si="62"/>
        <v>0</v>
      </c>
      <c r="AO99" s="517">
        <f t="shared" si="62"/>
        <v>0</v>
      </c>
      <c r="AP99" s="517">
        <f t="shared" si="62"/>
        <v>0</v>
      </c>
      <c r="AQ99" s="517">
        <f t="shared" si="62"/>
        <v>0</v>
      </c>
      <c r="AR99" s="518">
        <f t="shared" si="62"/>
        <v>0</v>
      </c>
      <c r="AS99" s="428"/>
    </row>
    <row r="100" spans="2:45" ht="7.5" customHeight="1" x14ac:dyDescent="0.2">
      <c r="B100" s="175"/>
      <c r="C100" s="386"/>
      <c r="D100" s="54"/>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c r="AK100" s="377"/>
      <c r="AL100" s="377"/>
      <c r="AM100" s="377"/>
      <c r="AN100" s="377"/>
      <c r="AO100" s="377"/>
      <c r="AP100" s="377"/>
      <c r="AQ100" s="377"/>
      <c r="AR100" s="385"/>
      <c r="AS100" s="175"/>
    </row>
    <row r="101" spans="2:45" x14ac:dyDescent="0.2">
      <c r="B101" s="175"/>
      <c r="C101" s="539" t="s">
        <v>529</v>
      </c>
      <c r="D101" s="108"/>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18"/>
      <c r="AS101" s="175"/>
    </row>
    <row r="102" spans="2:45" x14ac:dyDescent="0.2">
      <c r="B102" s="175"/>
      <c r="C102" s="542" t="s">
        <v>100</v>
      </c>
      <c r="D102" s="54"/>
      <c r="E102" s="377">
        <f>-'Loan Repayment'!F20</f>
        <v>0</v>
      </c>
      <c r="F102" s="377">
        <f>-'Loan Repayment'!G20</f>
        <v>0</v>
      </c>
      <c r="G102" s="377">
        <f>-'Loan Repayment'!H20</f>
        <v>0</v>
      </c>
      <c r="H102" s="377">
        <f>-'Loan Repayment'!I20</f>
        <v>0</v>
      </c>
      <c r="I102" s="377">
        <f>-'Loan Repayment'!J20</f>
        <v>0</v>
      </c>
      <c r="J102" s="377">
        <f>-'Loan Repayment'!K20</f>
        <v>0</v>
      </c>
      <c r="K102" s="377">
        <f>-'Loan Repayment'!L20</f>
        <v>0</v>
      </c>
      <c r="L102" s="377">
        <f>-'Loan Repayment'!M20</f>
        <v>0</v>
      </c>
      <c r="M102" s="377">
        <f>-'Loan Repayment'!N20</f>
        <v>0</v>
      </c>
      <c r="N102" s="377">
        <f>-'Loan Repayment'!O20</f>
        <v>0</v>
      </c>
      <c r="O102" s="377">
        <f>-'Loan Repayment'!P20</f>
        <v>0</v>
      </c>
      <c r="P102" s="377">
        <f>-'Loan Repayment'!Q20</f>
        <v>0</v>
      </c>
      <c r="Q102" s="377">
        <f>-'Loan Repayment'!R20</f>
        <v>0</v>
      </c>
      <c r="R102" s="377">
        <f>-'Loan Repayment'!S20</f>
        <v>0</v>
      </c>
      <c r="S102" s="377">
        <f>-'Loan Repayment'!T20</f>
        <v>0</v>
      </c>
      <c r="T102" s="377">
        <f>-'Loan Repayment'!U20</f>
        <v>0</v>
      </c>
      <c r="U102" s="377">
        <f>-'Loan Repayment'!V20</f>
        <v>0</v>
      </c>
      <c r="V102" s="377">
        <f>-'Loan Repayment'!W20</f>
        <v>0</v>
      </c>
      <c r="W102" s="377">
        <f>-'Loan Repayment'!X20</f>
        <v>0</v>
      </c>
      <c r="X102" s="377">
        <f>-'Loan Repayment'!Y20</f>
        <v>0</v>
      </c>
      <c r="Y102" s="377">
        <f>-'Loan Repayment'!Z20</f>
        <v>0</v>
      </c>
      <c r="Z102" s="377">
        <f>-'Loan Repayment'!AA20</f>
        <v>0</v>
      </c>
      <c r="AA102" s="377">
        <f>-'Loan Repayment'!AB20</f>
        <v>0</v>
      </c>
      <c r="AB102" s="377">
        <f>-'Loan Repayment'!AC20</f>
        <v>0</v>
      </c>
      <c r="AC102" s="377">
        <f>-'Loan Repayment'!AD20</f>
        <v>0</v>
      </c>
      <c r="AD102" s="377">
        <f>-'Loan Repayment'!AE20</f>
        <v>0</v>
      </c>
      <c r="AE102" s="377">
        <f>-'Loan Repayment'!AF20</f>
        <v>0</v>
      </c>
      <c r="AF102" s="377">
        <f>-'Loan Repayment'!AG20</f>
        <v>0</v>
      </c>
      <c r="AG102" s="377">
        <f>-'Loan Repayment'!AH20</f>
        <v>0</v>
      </c>
      <c r="AH102" s="377">
        <f>-'Loan Repayment'!AI20</f>
        <v>0</v>
      </c>
      <c r="AI102" s="377">
        <f>-'Loan Repayment'!AJ20</f>
        <v>0</v>
      </c>
      <c r="AJ102" s="377">
        <f>-'Loan Repayment'!AK20</f>
        <v>0</v>
      </c>
      <c r="AK102" s="377">
        <f>-'Loan Repayment'!AL20</f>
        <v>0</v>
      </c>
      <c r="AL102" s="377">
        <f>-'Loan Repayment'!AM20</f>
        <v>0</v>
      </c>
      <c r="AM102" s="377">
        <f>-'Loan Repayment'!AN20</f>
        <v>0</v>
      </c>
      <c r="AN102" s="377">
        <f>-'Loan Repayment'!AO20</f>
        <v>0</v>
      </c>
      <c r="AO102" s="377">
        <f>-'Loan Repayment'!AP20</f>
        <v>0</v>
      </c>
      <c r="AP102" s="377">
        <f>-'Loan Repayment'!AQ20</f>
        <v>0</v>
      </c>
      <c r="AQ102" s="377">
        <f>-'Loan Repayment'!AR20</f>
        <v>0</v>
      </c>
      <c r="AR102" s="385">
        <f>-'Loan Repayment'!AV11</f>
        <v>0</v>
      </c>
      <c r="AS102" s="175"/>
    </row>
    <row r="103" spans="2:45" x14ac:dyDescent="0.2">
      <c r="B103" s="175"/>
      <c r="C103" s="542" t="s">
        <v>193</v>
      </c>
      <c r="D103" s="54"/>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77"/>
      <c r="AR103" s="385"/>
      <c r="AS103" s="175"/>
    </row>
    <row r="104" spans="2:45" s="186" customFormat="1" x14ac:dyDescent="0.2">
      <c r="B104" s="428"/>
      <c r="C104" s="550" t="s">
        <v>530</v>
      </c>
      <c r="D104" s="516"/>
      <c r="E104" s="517">
        <f>SUM(E102:E103)</f>
        <v>0</v>
      </c>
      <c r="F104" s="517">
        <f>SUM(F102:F103)</f>
        <v>0</v>
      </c>
      <c r="G104" s="517">
        <f t="shared" ref="G104:I104" si="63">SUM(G102:G103)</f>
        <v>0</v>
      </c>
      <c r="H104" s="517">
        <f t="shared" si="63"/>
        <v>0</v>
      </c>
      <c r="I104" s="517">
        <f t="shared" si="63"/>
        <v>0</v>
      </c>
      <c r="J104" s="517">
        <f t="shared" ref="J104:AR104" si="64">SUM(J102:J103)</f>
        <v>0</v>
      </c>
      <c r="K104" s="517">
        <f t="shared" si="64"/>
        <v>0</v>
      </c>
      <c r="L104" s="517">
        <f t="shared" si="64"/>
        <v>0</v>
      </c>
      <c r="M104" s="517">
        <f t="shared" si="64"/>
        <v>0</v>
      </c>
      <c r="N104" s="517">
        <f t="shared" si="64"/>
        <v>0</v>
      </c>
      <c r="O104" s="517">
        <f t="shared" si="64"/>
        <v>0</v>
      </c>
      <c r="P104" s="517">
        <f t="shared" si="64"/>
        <v>0</v>
      </c>
      <c r="Q104" s="517">
        <f t="shared" si="64"/>
        <v>0</v>
      </c>
      <c r="R104" s="517">
        <f t="shared" si="64"/>
        <v>0</v>
      </c>
      <c r="S104" s="517">
        <f t="shared" si="64"/>
        <v>0</v>
      </c>
      <c r="T104" s="517">
        <f t="shared" si="64"/>
        <v>0</v>
      </c>
      <c r="U104" s="517">
        <f t="shared" si="64"/>
        <v>0</v>
      </c>
      <c r="V104" s="517">
        <f t="shared" si="64"/>
        <v>0</v>
      </c>
      <c r="W104" s="517">
        <f t="shared" si="64"/>
        <v>0</v>
      </c>
      <c r="X104" s="517">
        <f t="shared" si="64"/>
        <v>0</v>
      </c>
      <c r="Y104" s="517">
        <f t="shared" si="64"/>
        <v>0</v>
      </c>
      <c r="Z104" s="517">
        <f t="shared" si="64"/>
        <v>0</v>
      </c>
      <c r="AA104" s="517">
        <f t="shared" si="64"/>
        <v>0</v>
      </c>
      <c r="AB104" s="517">
        <f t="shared" si="64"/>
        <v>0</v>
      </c>
      <c r="AC104" s="517">
        <f t="shared" si="64"/>
        <v>0</v>
      </c>
      <c r="AD104" s="517">
        <f t="shared" si="64"/>
        <v>0</v>
      </c>
      <c r="AE104" s="517">
        <f t="shared" si="64"/>
        <v>0</v>
      </c>
      <c r="AF104" s="517">
        <f t="shared" si="64"/>
        <v>0</v>
      </c>
      <c r="AG104" s="517">
        <f t="shared" si="64"/>
        <v>0</v>
      </c>
      <c r="AH104" s="517">
        <f t="shared" si="64"/>
        <v>0</v>
      </c>
      <c r="AI104" s="517">
        <f t="shared" si="64"/>
        <v>0</v>
      </c>
      <c r="AJ104" s="517">
        <f t="shared" si="64"/>
        <v>0</v>
      </c>
      <c r="AK104" s="517">
        <f t="shared" si="64"/>
        <v>0</v>
      </c>
      <c r="AL104" s="517">
        <f t="shared" si="64"/>
        <v>0</v>
      </c>
      <c r="AM104" s="517">
        <f t="shared" si="64"/>
        <v>0</v>
      </c>
      <c r="AN104" s="517">
        <f t="shared" si="64"/>
        <v>0</v>
      </c>
      <c r="AO104" s="517">
        <f t="shared" si="64"/>
        <v>0</v>
      </c>
      <c r="AP104" s="517">
        <f t="shared" si="64"/>
        <v>0</v>
      </c>
      <c r="AQ104" s="517">
        <f t="shared" si="64"/>
        <v>0</v>
      </c>
      <c r="AR104" s="518">
        <f t="shared" si="64"/>
        <v>0</v>
      </c>
      <c r="AS104" s="428"/>
    </row>
    <row r="105" spans="2:45" ht="7.5" customHeight="1" x14ac:dyDescent="0.2">
      <c r="B105" s="175"/>
      <c r="C105" s="386"/>
      <c r="D105" s="54"/>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85"/>
      <c r="AS105" s="175"/>
    </row>
    <row r="106" spans="2:45" ht="13.5" thickBot="1" x14ac:dyDescent="0.25">
      <c r="B106" s="175"/>
      <c r="C106" s="537" t="s">
        <v>101</v>
      </c>
      <c r="D106" s="522"/>
      <c r="E106" s="429">
        <f>E94+E99+E104</f>
        <v>0</v>
      </c>
      <c r="F106" s="429">
        <f>F94+F99+F104</f>
        <v>0</v>
      </c>
      <c r="G106" s="429">
        <f t="shared" ref="G106:I106" si="65">G94+G99+G104</f>
        <v>0</v>
      </c>
      <c r="H106" s="429">
        <f t="shared" si="65"/>
        <v>0</v>
      </c>
      <c r="I106" s="429">
        <f t="shared" si="65"/>
        <v>0</v>
      </c>
      <c r="J106" s="429">
        <f t="shared" ref="J106:AR106" si="66">J94+J99+J104</f>
        <v>0</v>
      </c>
      <c r="K106" s="429">
        <f t="shared" si="66"/>
        <v>0</v>
      </c>
      <c r="L106" s="429">
        <f t="shared" si="66"/>
        <v>0</v>
      </c>
      <c r="M106" s="429">
        <f t="shared" si="66"/>
        <v>0</v>
      </c>
      <c r="N106" s="429">
        <f t="shared" si="66"/>
        <v>0</v>
      </c>
      <c r="O106" s="429">
        <f t="shared" si="66"/>
        <v>0</v>
      </c>
      <c r="P106" s="429">
        <f t="shared" si="66"/>
        <v>0</v>
      </c>
      <c r="Q106" s="429">
        <f t="shared" si="66"/>
        <v>0</v>
      </c>
      <c r="R106" s="429">
        <f t="shared" si="66"/>
        <v>0</v>
      </c>
      <c r="S106" s="429">
        <f t="shared" si="66"/>
        <v>0</v>
      </c>
      <c r="T106" s="429">
        <f t="shared" si="66"/>
        <v>0</v>
      </c>
      <c r="U106" s="429">
        <f t="shared" si="66"/>
        <v>0</v>
      </c>
      <c r="V106" s="429">
        <f t="shared" si="66"/>
        <v>0</v>
      </c>
      <c r="W106" s="429">
        <f t="shared" si="66"/>
        <v>0</v>
      </c>
      <c r="X106" s="429">
        <f t="shared" si="66"/>
        <v>0</v>
      </c>
      <c r="Y106" s="429">
        <f t="shared" si="66"/>
        <v>0</v>
      </c>
      <c r="Z106" s="429">
        <f t="shared" si="66"/>
        <v>0</v>
      </c>
      <c r="AA106" s="429">
        <f t="shared" si="66"/>
        <v>0</v>
      </c>
      <c r="AB106" s="429">
        <f t="shared" si="66"/>
        <v>0</v>
      </c>
      <c r="AC106" s="429">
        <f t="shared" si="66"/>
        <v>0</v>
      </c>
      <c r="AD106" s="429">
        <f t="shared" si="66"/>
        <v>0</v>
      </c>
      <c r="AE106" s="429">
        <f t="shared" si="66"/>
        <v>0</v>
      </c>
      <c r="AF106" s="429">
        <f t="shared" si="66"/>
        <v>0</v>
      </c>
      <c r="AG106" s="429">
        <f t="shared" si="66"/>
        <v>0</v>
      </c>
      <c r="AH106" s="429">
        <f t="shared" si="66"/>
        <v>0</v>
      </c>
      <c r="AI106" s="429">
        <f t="shared" si="66"/>
        <v>0</v>
      </c>
      <c r="AJ106" s="429">
        <f t="shared" si="66"/>
        <v>0</v>
      </c>
      <c r="AK106" s="429">
        <f t="shared" si="66"/>
        <v>0</v>
      </c>
      <c r="AL106" s="429">
        <f t="shared" si="66"/>
        <v>0</v>
      </c>
      <c r="AM106" s="429">
        <f t="shared" si="66"/>
        <v>0</v>
      </c>
      <c r="AN106" s="429">
        <f t="shared" si="66"/>
        <v>0</v>
      </c>
      <c r="AO106" s="429">
        <f t="shared" si="66"/>
        <v>0</v>
      </c>
      <c r="AP106" s="429">
        <f t="shared" si="66"/>
        <v>0</v>
      </c>
      <c r="AQ106" s="429">
        <f t="shared" si="66"/>
        <v>0</v>
      </c>
      <c r="AR106" s="523">
        <f t="shared" si="66"/>
        <v>0</v>
      </c>
      <c r="AS106" s="175"/>
    </row>
    <row r="107" spans="2:45" ht="13.5" thickTop="1" x14ac:dyDescent="0.2">
      <c r="B107" s="175"/>
      <c r="C107" s="386"/>
      <c r="D107" s="54"/>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c r="AN107" s="377"/>
      <c r="AO107" s="377"/>
      <c r="AP107" s="377"/>
      <c r="AQ107" s="377"/>
      <c r="AR107" s="385"/>
      <c r="AS107" s="175"/>
    </row>
    <row r="108" spans="2:45" x14ac:dyDescent="0.2">
      <c r="B108" s="175"/>
      <c r="C108" s="386" t="s">
        <v>102</v>
      </c>
      <c r="D108" s="54"/>
      <c r="E108" s="377">
        <f>E87-E106</f>
        <v>0</v>
      </c>
      <c r="F108" s="377">
        <f>F87-F106</f>
        <v>0</v>
      </c>
      <c r="G108" s="377">
        <f>G87-G106</f>
        <v>0</v>
      </c>
      <c r="H108" s="377">
        <f>H87-H106</f>
        <v>0</v>
      </c>
      <c r="I108" s="377">
        <f>I87-I106</f>
        <v>0</v>
      </c>
      <c r="J108" s="377">
        <f t="shared" ref="J108:AR108" si="67">J87-J106</f>
        <v>0</v>
      </c>
      <c r="K108" s="377">
        <f t="shared" si="67"/>
        <v>0</v>
      </c>
      <c r="L108" s="377">
        <f t="shared" si="67"/>
        <v>0</v>
      </c>
      <c r="M108" s="377">
        <f t="shared" si="67"/>
        <v>0</v>
      </c>
      <c r="N108" s="377">
        <f t="shared" si="67"/>
        <v>0</v>
      </c>
      <c r="O108" s="377">
        <f t="shared" si="67"/>
        <v>0</v>
      </c>
      <c r="P108" s="377">
        <f t="shared" si="67"/>
        <v>0</v>
      </c>
      <c r="Q108" s="377">
        <f t="shared" si="67"/>
        <v>0</v>
      </c>
      <c r="R108" s="377">
        <f t="shared" si="67"/>
        <v>0</v>
      </c>
      <c r="S108" s="377">
        <f t="shared" si="67"/>
        <v>0</v>
      </c>
      <c r="T108" s="377">
        <f t="shared" si="67"/>
        <v>0</v>
      </c>
      <c r="U108" s="377">
        <f t="shared" si="67"/>
        <v>0</v>
      </c>
      <c r="V108" s="377">
        <f t="shared" si="67"/>
        <v>0</v>
      </c>
      <c r="W108" s="377">
        <f t="shared" si="67"/>
        <v>0</v>
      </c>
      <c r="X108" s="377">
        <f t="shared" si="67"/>
        <v>0</v>
      </c>
      <c r="Y108" s="377">
        <f t="shared" si="67"/>
        <v>0</v>
      </c>
      <c r="Z108" s="377">
        <f t="shared" si="67"/>
        <v>0</v>
      </c>
      <c r="AA108" s="377">
        <f t="shared" si="67"/>
        <v>0</v>
      </c>
      <c r="AB108" s="377">
        <f t="shared" si="67"/>
        <v>0</v>
      </c>
      <c r="AC108" s="377">
        <f t="shared" si="67"/>
        <v>0</v>
      </c>
      <c r="AD108" s="377">
        <f t="shared" si="67"/>
        <v>0</v>
      </c>
      <c r="AE108" s="377">
        <f t="shared" si="67"/>
        <v>0</v>
      </c>
      <c r="AF108" s="377">
        <f t="shared" si="67"/>
        <v>0</v>
      </c>
      <c r="AG108" s="377">
        <f t="shared" si="67"/>
        <v>0</v>
      </c>
      <c r="AH108" s="377">
        <f t="shared" si="67"/>
        <v>0</v>
      </c>
      <c r="AI108" s="377">
        <f t="shared" si="67"/>
        <v>0</v>
      </c>
      <c r="AJ108" s="377">
        <f t="shared" si="67"/>
        <v>0</v>
      </c>
      <c r="AK108" s="377">
        <f t="shared" si="67"/>
        <v>0</v>
      </c>
      <c r="AL108" s="377">
        <f t="shared" si="67"/>
        <v>0</v>
      </c>
      <c r="AM108" s="377">
        <f t="shared" si="67"/>
        <v>0</v>
      </c>
      <c r="AN108" s="377">
        <f t="shared" si="67"/>
        <v>0</v>
      </c>
      <c r="AO108" s="377">
        <f t="shared" si="67"/>
        <v>0</v>
      </c>
      <c r="AP108" s="377">
        <f t="shared" si="67"/>
        <v>0</v>
      </c>
      <c r="AQ108" s="377">
        <f t="shared" si="67"/>
        <v>0</v>
      </c>
      <c r="AR108" s="385">
        <f t="shared" si="67"/>
        <v>0</v>
      </c>
      <c r="AS108" s="175"/>
    </row>
    <row r="109" spans="2:45" x14ac:dyDescent="0.2">
      <c r="B109" s="175"/>
      <c r="C109" s="387"/>
      <c r="D109" s="52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c r="AD109" s="406"/>
      <c r="AE109" s="406"/>
      <c r="AF109" s="406"/>
      <c r="AG109" s="406"/>
      <c r="AH109" s="406"/>
      <c r="AI109" s="406"/>
      <c r="AJ109" s="406"/>
      <c r="AK109" s="406"/>
      <c r="AL109" s="406"/>
      <c r="AM109" s="406"/>
      <c r="AN109" s="406"/>
      <c r="AO109" s="406"/>
      <c r="AP109" s="406"/>
      <c r="AQ109" s="406"/>
      <c r="AR109" s="407"/>
      <c r="AS109" s="175"/>
    </row>
    <row r="110" spans="2:45" x14ac:dyDescent="0.2">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row>
    <row r="111" spans="2:45" x14ac:dyDescent="0.2">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row>
  </sheetData>
  <mergeCells count="1">
    <mergeCell ref="D69:H69"/>
  </mergeCells>
  <pageMargins left="0.70866141732283472" right="0.70866141732283472" top="0.74803149606299213" bottom="0.74803149606299213" header="0.31496062992125984" footer="0.31496062992125984"/>
  <pageSetup paperSize="8" orientation="landscape" r:id="rId1"/>
  <headerFooter>
    <oddHeader>&amp;C&amp;A</oddHeader>
    <oddFooter>&amp;CPage &amp;P of &amp;N</oddFooter>
  </headerFooter>
  <ignoredErrors>
    <ignoredError sqref="E17 E19 F17:AR17 E15 E32:AR32 E21 F21:AR21"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W81"/>
  <sheetViews>
    <sheetView showGridLines="0" zoomScale="96" zoomScaleNormal="96" workbookViewId="0">
      <selection activeCell="I6" sqref="I6:L6"/>
    </sheetView>
  </sheetViews>
  <sheetFormatPr defaultColWidth="9.140625" defaultRowHeight="15" x14ac:dyDescent="0.25"/>
  <cols>
    <col min="1" max="2" width="1.42578125" style="303" customWidth="1"/>
    <col min="3" max="3" width="11.7109375" style="303" customWidth="1"/>
    <col min="4" max="4" width="26.7109375" style="303" customWidth="1"/>
    <col min="5" max="12" width="14.28515625" style="303" customWidth="1"/>
    <col min="13" max="13" width="4" style="303" customWidth="1"/>
    <col min="14" max="14" width="10" style="303" bestFit="1" customWidth="1"/>
    <col min="15" max="16384" width="9.140625" style="303"/>
  </cols>
  <sheetData>
    <row r="1" spans="2:23" ht="7.5" customHeight="1" x14ac:dyDescent="0.25"/>
    <row r="2" spans="2:23" ht="7.5" customHeight="1" x14ac:dyDescent="0.25">
      <c r="B2" s="144"/>
      <c r="C2" s="144"/>
      <c r="D2" s="144"/>
      <c r="E2" s="144"/>
      <c r="F2" s="144"/>
      <c r="G2" s="144"/>
      <c r="H2" s="144"/>
      <c r="I2" s="144"/>
      <c r="J2" s="144"/>
      <c r="K2" s="144"/>
      <c r="L2" s="144"/>
      <c r="M2" s="144"/>
      <c r="N2" s="144"/>
      <c r="O2" s="144"/>
      <c r="P2" s="144"/>
      <c r="Q2" s="144"/>
      <c r="R2" s="579"/>
      <c r="S2" s="579"/>
      <c r="T2" s="579"/>
      <c r="U2" s="579"/>
      <c r="V2" s="579"/>
      <c r="W2" s="579"/>
    </row>
    <row r="3" spans="2:23" s="174" customFormat="1" ht="15" customHeight="1" x14ac:dyDescent="0.3">
      <c r="B3" s="342"/>
      <c r="C3" s="304" t="s">
        <v>432</v>
      </c>
      <c r="D3" s="304"/>
      <c r="E3" s="343"/>
      <c r="F3" s="343"/>
      <c r="G3" s="343"/>
      <c r="H3" s="343"/>
      <c r="I3" s="342"/>
      <c r="J3" s="342"/>
      <c r="K3" s="342"/>
      <c r="L3" s="342"/>
      <c r="M3" s="342"/>
      <c r="N3" s="342"/>
      <c r="O3" s="342"/>
      <c r="P3" s="342"/>
      <c r="Q3" s="342"/>
      <c r="R3" s="624"/>
      <c r="S3" s="624"/>
      <c r="T3" s="624"/>
      <c r="U3" s="624"/>
      <c r="V3" s="624"/>
      <c r="W3" s="624"/>
    </row>
    <row r="4" spans="2:23" s="174" customFormat="1" ht="15" customHeight="1" x14ac:dyDescent="0.3">
      <c r="B4" s="342"/>
      <c r="C4" s="363"/>
      <c r="D4" s="363"/>
      <c r="E4" s="343"/>
      <c r="F4" s="343"/>
      <c r="G4" s="343"/>
      <c r="H4" s="343"/>
      <c r="I4" s="342"/>
      <c r="J4" s="342"/>
      <c r="K4" s="342"/>
      <c r="L4" s="342"/>
      <c r="M4" s="342"/>
      <c r="N4" s="342"/>
      <c r="O4" s="342"/>
      <c r="P4" s="342"/>
      <c r="Q4" s="342"/>
      <c r="R4" s="624"/>
      <c r="S4" s="624"/>
      <c r="T4" s="624"/>
      <c r="U4" s="624"/>
      <c r="V4" s="624"/>
      <c r="W4" s="624"/>
    </row>
    <row r="5" spans="2:23" ht="15.75" x14ac:dyDescent="0.25">
      <c r="B5" s="144"/>
      <c r="C5" s="747" t="s">
        <v>184</v>
      </c>
      <c r="D5" s="748"/>
      <c r="E5" s="344"/>
      <c r="F5" s="344"/>
      <c r="G5" s="344"/>
      <c r="H5" s="344"/>
      <c r="I5" s="344"/>
      <c r="J5" s="344"/>
      <c r="K5" s="344"/>
      <c r="L5" s="344"/>
      <c r="M5" s="144"/>
      <c r="N5" s="144"/>
      <c r="O5" s="144"/>
      <c r="P5" s="144"/>
      <c r="Q5" s="144"/>
      <c r="R5" s="579"/>
      <c r="S5" s="579"/>
      <c r="T5" s="579"/>
      <c r="U5" s="579"/>
      <c r="V5" s="579"/>
      <c r="W5" s="579"/>
    </row>
    <row r="6" spans="2:23" ht="33.75" customHeight="1" x14ac:dyDescent="0.25">
      <c r="B6" s="144"/>
      <c r="C6" s="749" t="s">
        <v>517</v>
      </c>
      <c r="D6" s="750"/>
      <c r="E6" s="762" t="s">
        <v>182</v>
      </c>
      <c r="F6" s="763"/>
      <c r="G6" s="763"/>
      <c r="H6" s="764"/>
      <c r="I6" s="762" t="s">
        <v>183</v>
      </c>
      <c r="J6" s="763"/>
      <c r="K6" s="763"/>
      <c r="L6" s="764"/>
      <c r="M6" s="144"/>
      <c r="N6" s="144"/>
      <c r="O6" s="144"/>
      <c r="P6" s="144"/>
      <c r="Q6" s="144"/>
      <c r="R6" s="579"/>
      <c r="S6" s="579"/>
      <c r="T6" s="579"/>
      <c r="U6" s="579"/>
      <c r="V6" s="579"/>
      <c r="W6" s="579"/>
    </row>
    <row r="7" spans="2:23" x14ac:dyDescent="0.25">
      <c r="B7" s="144"/>
      <c r="C7" s="751"/>
      <c r="D7" s="752"/>
      <c r="E7" s="355" t="str">
        <f>'Tariff Calculator'!D43</f>
        <v>KES/kWh</v>
      </c>
      <c r="F7" s="355" t="str">
        <f>'Tariff Calculator'!D43</f>
        <v>KES/kWh</v>
      </c>
      <c r="G7" s="355" t="str">
        <f>'Tariff Calculator'!D43</f>
        <v>KES/kWh</v>
      </c>
      <c r="H7" s="355" t="str">
        <f>'Tariff Calculator'!D43</f>
        <v>KES/kWh</v>
      </c>
      <c r="I7" s="355" t="str">
        <f>'Tariff Calculator'!D55</f>
        <v>KES/kWh</v>
      </c>
      <c r="J7" s="355" t="str">
        <f>'Tariff Calculator'!D55</f>
        <v>KES/kWh</v>
      </c>
      <c r="K7" s="355" t="str">
        <f>'Tariff Calculator'!D55</f>
        <v>KES/kWh</v>
      </c>
      <c r="L7" s="355" t="str">
        <f>'Tariff Calculator'!D55</f>
        <v>KES/kWh</v>
      </c>
      <c r="M7" s="144"/>
      <c r="N7" s="144"/>
      <c r="O7" s="144"/>
      <c r="P7" s="144"/>
      <c r="Q7" s="144"/>
      <c r="R7" s="579"/>
      <c r="S7" s="579"/>
      <c r="T7" s="579"/>
      <c r="U7" s="579"/>
      <c r="V7" s="579"/>
      <c r="W7" s="579"/>
    </row>
    <row r="8" spans="2:23" ht="8.25" customHeight="1" x14ac:dyDescent="0.25">
      <c r="B8" s="144"/>
      <c r="C8" s="765"/>
      <c r="D8" s="766"/>
      <c r="E8" s="766"/>
      <c r="F8" s="766"/>
      <c r="G8" s="766"/>
      <c r="H8" s="766"/>
      <c r="I8" s="766"/>
      <c r="J8" s="766"/>
      <c r="K8" s="766"/>
      <c r="L8" s="767"/>
      <c r="M8" s="144"/>
      <c r="N8" s="144"/>
      <c r="O8" s="144"/>
      <c r="P8" s="144"/>
      <c r="Q8" s="144"/>
      <c r="R8" s="579"/>
      <c r="S8" s="579"/>
      <c r="T8" s="579"/>
      <c r="U8" s="579"/>
      <c r="V8" s="579"/>
      <c r="W8" s="579"/>
    </row>
    <row r="9" spans="2:23" x14ac:dyDescent="0.25">
      <c r="B9" s="144"/>
      <c r="C9" s="753" t="s">
        <v>572</v>
      </c>
      <c r="D9" s="754"/>
      <c r="E9" s="357" t="s">
        <v>251</v>
      </c>
      <c r="F9" s="357" t="s">
        <v>253</v>
      </c>
      <c r="G9" s="357" t="s">
        <v>252</v>
      </c>
      <c r="H9" s="357" t="s">
        <v>255</v>
      </c>
      <c r="I9" s="357" t="s">
        <v>251</v>
      </c>
      <c r="J9" s="357" t="s">
        <v>253</v>
      </c>
      <c r="K9" s="357" t="s">
        <v>252</v>
      </c>
      <c r="L9" s="357" t="s">
        <v>255</v>
      </c>
      <c r="M9" s="144"/>
      <c r="N9" s="144"/>
      <c r="O9" s="144"/>
      <c r="P9" s="144"/>
      <c r="Q9" s="144"/>
      <c r="R9" s="579"/>
      <c r="S9" s="579"/>
      <c r="T9" s="579"/>
      <c r="U9" s="579"/>
      <c r="V9" s="579"/>
      <c r="W9" s="579"/>
    </row>
    <row r="10" spans="2:23" x14ac:dyDescent="0.25">
      <c r="B10" s="144"/>
      <c r="C10" s="566" t="s">
        <v>550</v>
      </c>
      <c r="D10" s="603"/>
      <c r="E10" s="567"/>
      <c r="F10" s="568"/>
      <c r="G10" s="567"/>
      <c r="H10" s="567"/>
      <c r="I10" s="567"/>
      <c r="J10" s="567"/>
      <c r="K10" s="567"/>
      <c r="L10" s="567"/>
      <c r="M10" s="144"/>
      <c r="N10" s="144"/>
      <c r="O10" s="144"/>
      <c r="P10" s="144"/>
      <c r="Q10" s="144"/>
      <c r="R10" s="579"/>
      <c r="S10" s="579"/>
      <c r="T10" s="579"/>
      <c r="U10" s="579"/>
      <c r="V10" s="579"/>
      <c r="W10" s="579"/>
    </row>
    <row r="11" spans="2:23" x14ac:dyDescent="0.25">
      <c r="B11" s="144"/>
      <c r="C11" s="600" t="s">
        <v>586</v>
      </c>
      <c r="D11" s="603"/>
      <c r="E11" s="571" t="e">
        <f>'Tariff Calculator'!$E84*'Tariff Inputs'!G102</f>
        <v>#DIV/0!</v>
      </c>
      <c r="F11" s="572" t="e">
        <f>'Tariff Calculator'!$E84*'Tariff Inputs'!G103</f>
        <v>#DIV/0!</v>
      </c>
      <c r="G11" s="573" t="e">
        <f>'Tariff Calculator'!$E84*'Tariff Inputs'!G104</f>
        <v>#DIV/0!</v>
      </c>
      <c r="H11" s="573" t="e">
        <f>'Tariff Calculator'!$E84*'Tariff Inputs'!G105</f>
        <v>#DIV/0!</v>
      </c>
      <c r="I11" s="567" t="e">
        <f>'Tariff Calculator'!$E84*'Tariff Inputs'!G102</f>
        <v>#DIV/0!</v>
      </c>
      <c r="J11" s="567" t="e">
        <f>'Tariff Calculator'!$E84*'Tariff Inputs'!G103</f>
        <v>#DIV/0!</v>
      </c>
      <c r="K11" s="567" t="e">
        <f>'Tariff Calculator'!$E84*'Tariff Inputs'!G104</f>
        <v>#DIV/0!</v>
      </c>
      <c r="L11" s="567" t="e">
        <f>'Tariff Calculator'!$E84*'Tariff Inputs'!G105</f>
        <v>#DIV/0!</v>
      </c>
      <c r="M11" s="144"/>
      <c r="N11" s="144"/>
      <c r="O11" s="144"/>
      <c r="P11" s="144"/>
      <c r="Q11" s="144"/>
      <c r="R11" s="579"/>
      <c r="S11" s="579"/>
      <c r="T11" s="579"/>
      <c r="U11" s="579"/>
      <c r="V11" s="579"/>
      <c r="W11" s="579"/>
    </row>
    <row r="12" spans="2:23" x14ac:dyDescent="0.25">
      <c r="B12" s="144"/>
      <c r="C12" s="601" t="s">
        <v>581</v>
      </c>
      <c r="D12" s="603"/>
      <c r="E12" s="574" t="e">
        <f>(E26-'Tariff Calculator'!E81)*'Tariff Inputs'!G102</f>
        <v>#DIV/0!</v>
      </c>
      <c r="F12" s="575" t="e">
        <f>(E26-'Tariff Calculator'!E81)*'Tariff Inputs'!G103</f>
        <v>#DIV/0!</v>
      </c>
      <c r="G12" s="576" t="e">
        <f>(E26-'Tariff Calculator'!E81)*'Tariff Inputs'!G104</f>
        <v>#DIV/0!</v>
      </c>
      <c r="H12" s="576" t="e">
        <f>(E26-'Tariff Calculator'!E81)*'Tariff Inputs'!G105</f>
        <v>#DIV/0!</v>
      </c>
      <c r="I12" s="567" t="e">
        <f>(I26-'Tariff Calculator'!E81)*'Tariff Inputs'!G102</f>
        <v>#DIV/0!</v>
      </c>
      <c r="J12" s="567" t="e">
        <f>(I26-'Tariff Calculator'!E81)*'Tariff Inputs'!G103</f>
        <v>#DIV/0!</v>
      </c>
      <c r="K12" s="567" t="e">
        <f>(I26-'Tariff Calculator'!E81)*'Tariff Inputs'!G104</f>
        <v>#DIV/0!</v>
      </c>
      <c r="L12" s="567" t="e">
        <f>(I26-'Tariff Calculator'!E81)*'Tariff Inputs'!G105</f>
        <v>#DIV/0!</v>
      </c>
      <c r="M12" s="144"/>
      <c r="N12" s="144"/>
      <c r="O12" s="144"/>
      <c r="P12" s="144"/>
      <c r="Q12" s="144"/>
      <c r="R12" s="579"/>
      <c r="S12" s="579"/>
      <c r="T12" s="579"/>
      <c r="U12" s="579"/>
      <c r="V12" s="579"/>
      <c r="W12" s="579"/>
    </row>
    <row r="13" spans="2:23" ht="6.75" customHeight="1" x14ac:dyDescent="0.25">
      <c r="B13" s="144"/>
      <c r="C13" s="768"/>
      <c r="D13" s="769"/>
      <c r="E13" s="770"/>
      <c r="F13" s="770"/>
      <c r="G13" s="770"/>
      <c r="H13" s="770"/>
      <c r="I13" s="770"/>
      <c r="J13" s="770"/>
      <c r="K13" s="770"/>
      <c r="L13" s="771"/>
      <c r="M13" s="144"/>
      <c r="N13" s="144"/>
      <c r="O13" s="144"/>
      <c r="P13" s="144"/>
      <c r="Q13" s="144"/>
      <c r="R13" s="579"/>
      <c r="S13" s="579"/>
      <c r="T13" s="579"/>
      <c r="U13" s="579"/>
      <c r="V13" s="579"/>
      <c r="W13" s="579"/>
    </row>
    <row r="14" spans="2:23" x14ac:dyDescent="0.25">
      <c r="B14" s="144"/>
      <c r="C14" s="753" t="s">
        <v>573</v>
      </c>
      <c r="D14" s="754"/>
      <c r="E14" s="357" t="s">
        <v>251</v>
      </c>
      <c r="F14" s="357" t="s">
        <v>253</v>
      </c>
      <c r="G14" s="357" t="s">
        <v>252</v>
      </c>
      <c r="H14" s="357" t="s">
        <v>255</v>
      </c>
      <c r="I14" s="357" t="s">
        <v>251</v>
      </c>
      <c r="J14" s="357" t="s">
        <v>253</v>
      </c>
      <c r="K14" s="357" t="s">
        <v>252</v>
      </c>
      <c r="L14" s="357" t="s">
        <v>255</v>
      </c>
      <c r="M14" s="144"/>
      <c r="N14" s="144"/>
      <c r="O14" s="144"/>
      <c r="P14" s="144"/>
      <c r="Q14" s="144"/>
      <c r="R14" s="579"/>
      <c r="S14" s="579"/>
      <c r="T14" s="579"/>
      <c r="U14" s="579"/>
      <c r="V14" s="579"/>
      <c r="W14" s="579"/>
    </row>
    <row r="15" spans="2:23" x14ac:dyDescent="0.25">
      <c r="B15" s="144"/>
      <c r="C15" s="566" t="s">
        <v>550</v>
      </c>
      <c r="D15" s="603"/>
      <c r="E15" s="567"/>
      <c r="F15" s="568"/>
      <c r="G15" s="567"/>
      <c r="H15" s="567"/>
      <c r="I15" s="567"/>
      <c r="J15" s="567"/>
      <c r="K15" s="567"/>
      <c r="L15" s="567"/>
      <c r="M15" s="144"/>
      <c r="N15" s="144"/>
      <c r="O15" s="144"/>
      <c r="P15" s="144"/>
      <c r="Q15" s="144"/>
      <c r="R15" s="579"/>
      <c r="S15" s="579"/>
      <c r="T15" s="579"/>
      <c r="U15" s="579"/>
      <c r="V15" s="579"/>
      <c r="W15" s="579"/>
    </row>
    <row r="16" spans="2:23" x14ac:dyDescent="0.25">
      <c r="B16" s="144"/>
      <c r="C16" s="600" t="s">
        <v>586</v>
      </c>
      <c r="D16" s="603"/>
      <c r="E16" s="571" t="e">
        <f>'Tariff Calculator'!$E84*'Tariff Inputs'!G102</f>
        <v>#DIV/0!</v>
      </c>
      <c r="F16" s="572" t="e">
        <f>'Tariff Calculator'!$E84*'Tariff Inputs'!G103</f>
        <v>#DIV/0!</v>
      </c>
      <c r="G16" s="573" t="e">
        <f>'Tariff Calculator'!$E84*'Tariff Inputs'!G104</f>
        <v>#DIV/0!</v>
      </c>
      <c r="H16" s="573" t="e">
        <f>'Tariff Calculator'!$E84*'Tariff Inputs'!G104</f>
        <v>#DIV/0!</v>
      </c>
      <c r="I16" s="567" t="e">
        <f>'Tariff Calculator'!$E84*'Tariff Inputs'!G102</f>
        <v>#DIV/0!</v>
      </c>
      <c r="J16" s="567" t="e">
        <f>'Tariff Calculator'!$E84*'Tariff Inputs'!G103</f>
        <v>#DIV/0!</v>
      </c>
      <c r="K16" s="567" t="e">
        <f>'Tariff Calculator'!$E84*'Tariff Inputs'!G104</f>
        <v>#DIV/0!</v>
      </c>
      <c r="L16" s="567" t="e">
        <f>'Tariff Calculator'!$E84*'Tariff Inputs'!G104</f>
        <v>#DIV/0!</v>
      </c>
      <c r="M16" s="144"/>
      <c r="N16" s="144"/>
      <c r="O16" s="144"/>
      <c r="P16" s="144"/>
      <c r="Q16" s="144"/>
      <c r="R16" s="579"/>
      <c r="S16" s="579"/>
      <c r="T16" s="579"/>
      <c r="U16" s="579"/>
      <c r="V16" s="579"/>
      <c r="W16" s="579"/>
    </row>
    <row r="17" spans="1:23" x14ac:dyDescent="0.25">
      <c r="B17" s="144"/>
      <c r="C17" s="601" t="s">
        <v>581</v>
      </c>
      <c r="D17" s="603"/>
      <c r="E17" s="574" t="e">
        <f>(E28-'Tariff Calculator'!E81)*'Tariff Inputs'!G102</f>
        <v>#DIV/0!</v>
      </c>
      <c r="F17" s="575" t="e">
        <f>(E28-'Tariff Calculator'!E81)*'Tariff Inputs'!G103</f>
        <v>#DIV/0!</v>
      </c>
      <c r="G17" s="576" t="e">
        <f>(E28-'Tariff Calculator'!E81)*'Tariff Inputs'!G104</f>
        <v>#DIV/0!</v>
      </c>
      <c r="H17" s="576" t="e">
        <f>(E28-'Tariff Calculator'!E81)*'Tariff Inputs'!G105</f>
        <v>#DIV/0!</v>
      </c>
      <c r="I17" s="567" t="e">
        <f>(I28-'Tariff Calculator'!E81)*'Tariff Inputs'!G102</f>
        <v>#DIV/0!</v>
      </c>
      <c r="J17" s="567" t="e">
        <f>(I28-'Tariff Calculator'!E81)*'Tariff Inputs'!G103</f>
        <v>#DIV/0!</v>
      </c>
      <c r="K17" s="567" t="e">
        <f>(I28-'Tariff Calculator'!E81)*'Tariff Inputs'!G104</f>
        <v>#DIV/0!</v>
      </c>
      <c r="L17" s="567" t="e">
        <f>(I28-'Tariff Calculator'!E81)*'Tariff Inputs'!G105</f>
        <v>#DIV/0!</v>
      </c>
      <c r="M17" s="144"/>
      <c r="N17" s="144"/>
      <c r="O17" s="144"/>
      <c r="P17" s="144"/>
      <c r="Q17" s="144"/>
      <c r="R17" s="579"/>
      <c r="S17" s="579"/>
      <c r="T17" s="579"/>
      <c r="U17" s="579"/>
      <c r="V17" s="579"/>
      <c r="W17" s="579"/>
    </row>
    <row r="18" spans="1:23" ht="6.75" customHeight="1" x14ac:dyDescent="0.25">
      <c r="B18" s="144"/>
      <c r="C18" s="768"/>
      <c r="D18" s="769"/>
      <c r="E18" s="770"/>
      <c r="F18" s="770"/>
      <c r="G18" s="770"/>
      <c r="H18" s="770"/>
      <c r="I18" s="770"/>
      <c r="J18" s="770"/>
      <c r="K18" s="770"/>
      <c r="L18" s="771"/>
      <c r="M18" s="144"/>
      <c r="N18" s="144"/>
      <c r="O18" s="144"/>
      <c r="P18" s="144"/>
      <c r="Q18" s="144"/>
      <c r="R18" s="579"/>
      <c r="S18" s="579"/>
      <c r="T18" s="579"/>
      <c r="U18" s="579"/>
      <c r="V18" s="579"/>
      <c r="W18" s="579"/>
    </row>
    <row r="19" spans="1:23" x14ac:dyDescent="0.25">
      <c r="B19" s="144"/>
      <c r="C19" s="604" t="s">
        <v>578</v>
      </c>
      <c r="D19" s="605"/>
      <c r="E19" s="564">
        <f>E26*'Tariff Inputs'!G102</f>
        <v>0</v>
      </c>
      <c r="F19" s="359">
        <f>E26*'Tariff Inputs'!G103</f>
        <v>0</v>
      </c>
      <c r="G19" s="358">
        <f>E26*'Tariff Inputs'!G104</f>
        <v>0</v>
      </c>
      <c r="H19" s="358">
        <f>E26*'Tariff Inputs'!G105</f>
        <v>0</v>
      </c>
      <c r="I19" s="358">
        <f>I26*'Tariff Inputs'!G102</f>
        <v>0</v>
      </c>
      <c r="J19" s="358">
        <f>I26*'Tariff Inputs'!G103</f>
        <v>0</v>
      </c>
      <c r="K19" s="358">
        <f>I26*'Tariff Inputs'!G104</f>
        <v>0</v>
      </c>
      <c r="L19" s="358">
        <f>I26*'Tariff Inputs'!G105</f>
        <v>0</v>
      </c>
      <c r="M19" s="144"/>
      <c r="N19" s="144"/>
      <c r="O19" s="144"/>
      <c r="P19" s="144"/>
      <c r="Q19" s="144"/>
      <c r="R19" s="579"/>
      <c r="S19" s="579"/>
      <c r="T19" s="579"/>
      <c r="U19" s="579"/>
      <c r="V19" s="579"/>
      <c r="W19" s="579"/>
    </row>
    <row r="20" spans="1:23" ht="6.75" customHeight="1" x14ac:dyDescent="0.25">
      <c r="B20" s="144"/>
      <c r="C20" s="768"/>
      <c r="D20" s="769"/>
      <c r="E20" s="770"/>
      <c r="F20" s="770"/>
      <c r="G20" s="770"/>
      <c r="H20" s="770"/>
      <c r="I20" s="770"/>
      <c r="J20" s="770"/>
      <c r="K20" s="770"/>
      <c r="L20" s="771"/>
      <c r="M20" s="144"/>
      <c r="N20" s="144"/>
      <c r="O20" s="144"/>
      <c r="P20" s="144"/>
      <c r="Q20" s="144"/>
      <c r="R20" s="579"/>
      <c r="S20" s="579"/>
      <c r="T20" s="579"/>
      <c r="U20" s="579"/>
      <c r="V20" s="579"/>
      <c r="W20" s="579"/>
    </row>
    <row r="21" spans="1:23" x14ac:dyDescent="0.25">
      <c r="B21" s="144"/>
      <c r="C21" s="604" t="s">
        <v>577</v>
      </c>
      <c r="D21" s="602"/>
      <c r="E21" s="564">
        <f>E28*'Tariff Inputs'!G102</f>
        <v>0</v>
      </c>
      <c r="F21" s="359">
        <f>E28*'Tariff Inputs'!G103</f>
        <v>0</v>
      </c>
      <c r="G21" s="358">
        <f>E28*'Tariff Inputs'!G104</f>
        <v>0</v>
      </c>
      <c r="H21" s="358">
        <f>E28*'Tariff Inputs'!G105</f>
        <v>0</v>
      </c>
      <c r="I21" s="358">
        <f>I28*'Tariff Inputs'!G102</f>
        <v>0</v>
      </c>
      <c r="J21" s="358">
        <f>I28*'Tariff Inputs'!G103</f>
        <v>0</v>
      </c>
      <c r="K21" s="358">
        <f>I28*'Tariff Inputs'!G104</f>
        <v>0</v>
      </c>
      <c r="L21" s="358">
        <f>I28*'Tariff Inputs'!G105</f>
        <v>0</v>
      </c>
      <c r="M21" s="144"/>
      <c r="N21" s="144"/>
      <c r="O21" s="144"/>
      <c r="P21" s="144"/>
      <c r="Q21" s="144"/>
      <c r="R21" s="579"/>
      <c r="S21" s="579"/>
      <c r="T21" s="579"/>
      <c r="U21" s="579"/>
      <c r="V21" s="579"/>
      <c r="W21" s="579"/>
    </row>
    <row r="22" spans="1:23" ht="7.5" customHeight="1" x14ac:dyDescent="0.25">
      <c r="B22" s="144"/>
      <c r="C22" s="563"/>
      <c r="D22" s="759"/>
      <c r="E22" s="760"/>
      <c r="F22" s="760"/>
      <c r="G22" s="760"/>
      <c r="H22" s="760"/>
      <c r="I22" s="760"/>
      <c r="J22" s="760"/>
      <c r="K22" s="760"/>
      <c r="L22" s="761"/>
      <c r="M22" s="144"/>
      <c r="N22" s="144"/>
      <c r="O22" s="144"/>
      <c r="P22" s="144"/>
      <c r="Q22" s="144"/>
      <c r="R22" s="579"/>
      <c r="S22" s="579"/>
      <c r="T22" s="579"/>
      <c r="U22" s="579"/>
      <c r="V22" s="579"/>
      <c r="W22" s="579"/>
    </row>
    <row r="23" spans="1:23" s="339" customFormat="1" x14ac:dyDescent="0.25">
      <c r="B23" s="346"/>
      <c r="C23" s="755" t="s">
        <v>576</v>
      </c>
      <c r="D23" s="756"/>
      <c r="E23" s="357" t="s">
        <v>249</v>
      </c>
      <c r="F23" s="357" t="s">
        <v>256</v>
      </c>
      <c r="G23" s="357" t="s">
        <v>250</v>
      </c>
      <c r="H23" s="357"/>
      <c r="I23" s="357" t="s">
        <v>249</v>
      </c>
      <c r="J23" s="357" t="s">
        <v>256</v>
      </c>
      <c r="K23" s="357" t="s">
        <v>250</v>
      </c>
      <c r="L23" s="347"/>
      <c r="M23" s="346"/>
      <c r="N23" s="346"/>
      <c r="O23" s="346"/>
      <c r="P23" s="346"/>
      <c r="Q23" s="346"/>
      <c r="R23" s="621"/>
      <c r="S23" s="621"/>
      <c r="T23" s="621"/>
      <c r="U23" s="621"/>
      <c r="V23" s="621"/>
      <c r="W23" s="621"/>
    </row>
    <row r="24" spans="1:23" x14ac:dyDescent="0.25">
      <c r="B24" s="144"/>
      <c r="C24" s="757"/>
      <c r="D24" s="758"/>
      <c r="E24" s="359">
        <f>IF('Tariff Calculator'!E10*(1-'Tariff Inputs'!D99)&gt;0,(E26*'Tariff Calculator'!E10-'Outputs Summary'!G24*'Tariff Inputs'!D99*'Tariff Calculator'!E10)/'Tariff Calculator'!E10*(1-'Tariff Inputs'!D99),0)</f>
        <v>0</v>
      </c>
      <c r="F24" s="358">
        <f>E26</f>
        <v>0</v>
      </c>
      <c r="G24" s="358">
        <f>E26*(1+'Tariff Inputs'!$D$100)</f>
        <v>0</v>
      </c>
      <c r="H24" s="345"/>
      <c r="I24" s="358">
        <f>IF('Tariff Calculator'!E10*(1-'Tariff Inputs'!D99)&gt;0,(I26*'Tariff Calculator'!E10-'Outputs Summary'!K24*'Tariff Inputs'!D99*'Tariff Calculator'!E10)/'Tariff Calculator'!E10*(1-'Tariff Inputs'!D99),0)</f>
        <v>0</v>
      </c>
      <c r="J24" s="358">
        <f>I26</f>
        <v>0</v>
      </c>
      <c r="K24" s="358">
        <f>I26*(1+'Tariff Inputs'!$D$100)</f>
        <v>0</v>
      </c>
      <c r="L24" s="345"/>
      <c r="M24" s="144"/>
      <c r="N24" s="144"/>
      <c r="O24" s="144"/>
      <c r="P24" s="144"/>
      <c r="Q24" s="144"/>
      <c r="R24" s="579"/>
      <c r="S24" s="579"/>
      <c r="T24" s="579"/>
      <c r="U24" s="579"/>
      <c r="V24" s="579"/>
      <c r="W24" s="579"/>
    </row>
    <row r="25" spans="1:23" ht="8.25" customHeight="1" x14ac:dyDescent="0.25">
      <c r="B25" s="144"/>
      <c r="C25" s="765"/>
      <c r="D25" s="766"/>
      <c r="E25" s="766"/>
      <c r="F25" s="766"/>
      <c r="G25" s="766"/>
      <c r="H25" s="766"/>
      <c r="I25" s="766"/>
      <c r="J25" s="766"/>
      <c r="K25" s="766"/>
      <c r="L25" s="767"/>
      <c r="M25" s="144"/>
      <c r="N25" s="144"/>
      <c r="O25" s="144"/>
      <c r="P25" s="144"/>
      <c r="Q25" s="144"/>
      <c r="R25" s="579"/>
      <c r="S25" s="579"/>
      <c r="T25" s="579"/>
      <c r="U25" s="579"/>
      <c r="V25" s="579"/>
      <c r="W25" s="579"/>
    </row>
    <row r="26" spans="1:23" x14ac:dyDescent="0.25">
      <c r="A26" s="303" t="e">
        <f>'Tariff Calculator'!$E84*'Tariff Inputs'!G104</f>
        <v>#DIV/0!</v>
      </c>
      <c r="B26" s="144"/>
      <c r="C26" s="753" t="s">
        <v>575</v>
      </c>
      <c r="D26" s="754"/>
      <c r="E26" s="772">
        <f>'Tariff Calculator'!E41</f>
        <v>0</v>
      </c>
      <c r="F26" s="773"/>
      <c r="G26" s="773"/>
      <c r="H26" s="774"/>
      <c r="I26" s="772">
        <f>'Tariff Calculator'!E53</f>
        <v>0</v>
      </c>
      <c r="J26" s="773"/>
      <c r="K26" s="773"/>
      <c r="L26" s="774"/>
      <c r="M26" s="144"/>
      <c r="N26" s="144"/>
      <c r="O26" s="144"/>
      <c r="P26" s="144"/>
      <c r="Q26" s="144"/>
      <c r="R26" s="579"/>
      <c r="S26" s="579"/>
      <c r="T26" s="579"/>
      <c r="U26" s="579"/>
      <c r="V26" s="579"/>
      <c r="W26" s="579"/>
    </row>
    <row r="27" spans="1:23" ht="8.25" customHeight="1" x14ac:dyDescent="0.25">
      <c r="B27" s="144"/>
      <c r="C27" s="765"/>
      <c r="D27" s="766"/>
      <c r="E27" s="766"/>
      <c r="F27" s="766"/>
      <c r="G27" s="766"/>
      <c r="H27" s="766"/>
      <c r="I27" s="766"/>
      <c r="J27" s="766"/>
      <c r="K27" s="766"/>
      <c r="L27" s="767"/>
      <c r="M27" s="144"/>
      <c r="N27" s="144"/>
      <c r="O27" s="144"/>
      <c r="P27" s="144"/>
      <c r="Q27" s="144"/>
      <c r="R27" s="579"/>
      <c r="S27" s="579"/>
      <c r="T27" s="579"/>
      <c r="U27" s="579"/>
      <c r="V27" s="579"/>
      <c r="W27" s="579"/>
    </row>
    <row r="28" spans="1:23" x14ac:dyDescent="0.25">
      <c r="A28" s="303">
        <f>'Tariff Calculator'!$E85*'Tariff Inputs'!G105</f>
        <v>0</v>
      </c>
      <c r="B28" s="144"/>
      <c r="C28" s="753" t="s">
        <v>574</v>
      </c>
      <c r="D28" s="754"/>
      <c r="E28" s="772">
        <f>'Tariff Calculator'!E43</f>
        <v>0</v>
      </c>
      <c r="F28" s="773"/>
      <c r="G28" s="773"/>
      <c r="H28" s="774"/>
      <c r="I28" s="772">
        <f>'Tariff Calculator'!E55</f>
        <v>0</v>
      </c>
      <c r="J28" s="773"/>
      <c r="K28" s="773"/>
      <c r="L28" s="774"/>
      <c r="M28" s="144"/>
      <c r="N28" s="144"/>
      <c r="O28" s="144"/>
      <c r="P28" s="144"/>
      <c r="Q28" s="144"/>
      <c r="R28" s="579"/>
      <c r="S28" s="579"/>
      <c r="T28" s="579"/>
      <c r="U28" s="579"/>
      <c r="V28" s="579"/>
      <c r="W28" s="579"/>
    </row>
    <row r="29" spans="1:23" ht="6.75" customHeight="1" x14ac:dyDescent="0.25">
      <c r="B29" s="144"/>
      <c r="C29" s="783"/>
      <c r="D29" s="784"/>
      <c r="E29" s="784"/>
      <c r="F29" s="784"/>
      <c r="G29" s="784"/>
      <c r="H29" s="784"/>
      <c r="I29" s="784"/>
      <c r="J29" s="784"/>
      <c r="K29" s="784"/>
      <c r="L29" s="785"/>
      <c r="M29" s="144"/>
      <c r="N29" s="144"/>
      <c r="O29" s="144"/>
      <c r="P29" s="144"/>
      <c r="Q29" s="144"/>
      <c r="R29" s="579"/>
      <c r="S29" s="579"/>
      <c r="T29" s="579"/>
      <c r="U29" s="579"/>
      <c r="V29" s="579"/>
      <c r="W29" s="579"/>
    </row>
    <row r="30" spans="1:23" s="340" customFormat="1" ht="45.75" customHeight="1" x14ac:dyDescent="0.25">
      <c r="B30" s="348"/>
      <c r="C30" s="775" t="s">
        <v>564</v>
      </c>
      <c r="D30" s="776"/>
      <c r="E30" s="781">
        <f>'Tariff Calculator'!E67</f>
        <v>0</v>
      </c>
      <c r="F30" s="782"/>
      <c r="G30" s="782"/>
      <c r="H30" s="782"/>
      <c r="I30" s="782">
        <f>E30-SUM('Tariff Inputs'!D58:H60)</f>
        <v>0</v>
      </c>
      <c r="J30" s="782"/>
      <c r="K30" s="782"/>
      <c r="L30" s="782"/>
      <c r="M30" s="348"/>
      <c r="N30" s="348"/>
      <c r="O30" s="348"/>
      <c r="P30" s="348"/>
      <c r="Q30" s="348"/>
      <c r="R30" s="622"/>
      <c r="S30" s="622"/>
      <c r="T30" s="622"/>
      <c r="U30" s="622"/>
      <c r="V30" s="622"/>
      <c r="W30" s="622"/>
    </row>
    <row r="31" spans="1:23" s="340" customFormat="1" x14ac:dyDescent="0.25">
      <c r="B31" s="348"/>
      <c r="C31" s="364"/>
      <c r="D31" s="364"/>
      <c r="E31" s="349"/>
      <c r="F31" s="349"/>
      <c r="G31" s="349"/>
      <c r="H31" s="349"/>
      <c r="I31" s="349"/>
      <c r="J31" s="349"/>
      <c r="K31" s="349"/>
      <c r="L31" s="349"/>
      <c r="M31" s="348"/>
      <c r="N31" s="348"/>
      <c r="O31" s="348"/>
      <c r="P31" s="348"/>
      <c r="Q31" s="348"/>
      <c r="R31" s="622"/>
      <c r="S31" s="622"/>
      <c r="T31" s="622"/>
      <c r="U31" s="622"/>
      <c r="V31" s="622"/>
      <c r="W31" s="622"/>
    </row>
    <row r="32" spans="1:23" ht="15.75" x14ac:dyDescent="0.25">
      <c r="B32" s="144"/>
      <c r="C32" s="747" t="s">
        <v>387</v>
      </c>
      <c r="D32" s="748"/>
      <c r="E32" s="350"/>
      <c r="F32" s="350"/>
      <c r="G32" s="350"/>
      <c r="H32" s="350"/>
      <c r="I32" s="350"/>
      <c r="J32" s="350"/>
      <c r="K32" s="350"/>
      <c r="L32" s="350"/>
      <c r="M32" s="144"/>
      <c r="N32" s="144"/>
      <c r="O32" s="320"/>
      <c r="P32" s="144"/>
      <c r="Q32" s="144"/>
      <c r="R32" s="579"/>
      <c r="S32" s="579"/>
      <c r="T32" s="579"/>
      <c r="U32" s="579"/>
      <c r="V32" s="579"/>
      <c r="W32" s="579"/>
    </row>
    <row r="33" spans="2:23" s="341" customFormat="1" ht="25.5" x14ac:dyDescent="0.2">
      <c r="B33" s="351"/>
      <c r="C33" s="777" t="s">
        <v>388</v>
      </c>
      <c r="D33" s="778"/>
      <c r="E33" s="362" t="str">
        <f>Financials!C44</f>
        <v>Equity NPV</v>
      </c>
      <c r="F33" s="362" t="str">
        <f>Financials!C45</f>
        <v>Equity IRR</v>
      </c>
      <c r="G33" s="362" t="str">
        <f>Financials!C46</f>
        <v>Payback Period</v>
      </c>
      <c r="H33" s="362" t="str">
        <f>Financials!C57</f>
        <v>BEP in kWh</v>
      </c>
      <c r="I33" s="362" t="str">
        <f>Financials!C37</f>
        <v>Debt Service Cover Ratio</v>
      </c>
      <c r="J33" s="362" t="str">
        <f>Financials!C38</f>
        <v>Interest Cover Ratio</v>
      </c>
      <c r="K33" s="353"/>
      <c r="L33" s="353"/>
      <c r="M33" s="351"/>
      <c r="N33" s="351"/>
      <c r="O33" s="351"/>
      <c r="P33" s="351"/>
      <c r="Q33" s="351"/>
      <c r="R33" s="623"/>
      <c r="S33" s="623"/>
      <c r="T33" s="623"/>
      <c r="U33" s="623"/>
      <c r="V33" s="623"/>
      <c r="W33" s="623"/>
    </row>
    <row r="34" spans="2:23" s="341" customFormat="1" ht="15" customHeight="1" x14ac:dyDescent="0.2">
      <c r="B34" s="351"/>
      <c r="C34" s="779" t="s">
        <v>14</v>
      </c>
      <c r="D34" s="780"/>
      <c r="E34" s="352" t="s">
        <v>23</v>
      </c>
      <c r="F34" s="352" t="s">
        <v>13</v>
      </c>
      <c r="G34" s="352" t="s">
        <v>32</v>
      </c>
      <c r="H34" s="352" t="s">
        <v>390</v>
      </c>
      <c r="I34" s="352" t="s">
        <v>390</v>
      </c>
      <c r="J34" s="352" t="s">
        <v>390</v>
      </c>
      <c r="K34" s="353"/>
      <c r="L34" s="353"/>
      <c r="M34" s="351"/>
      <c r="N34" s="351"/>
      <c r="O34" s="351"/>
      <c r="P34" s="351"/>
      <c r="Q34" s="351"/>
      <c r="R34" s="623"/>
      <c r="S34" s="623"/>
      <c r="T34" s="623"/>
      <c r="U34" s="623"/>
      <c r="V34" s="623"/>
      <c r="W34" s="623"/>
    </row>
    <row r="35" spans="2:23" ht="15" customHeight="1" x14ac:dyDescent="0.25">
      <c r="B35" s="144"/>
      <c r="C35" s="777" t="s">
        <v>389</v>
      </c>
      <c r="D35" s="778"/>
      <c r="E35" s="360">
        <f>Financials!D44</f>
        <v>0</v>
      </c>
      <c r="F35" s="361" t="e">
        <f>Financials!D45</f>
        <v>#NUM!</v>
      </c>
      <c r="G35" s="354">
        <f>Financials!D46</f>
        <v>0</v>
      </c>
      <c r="H35" s="354">
        <f>AVERAGE(Financials!E57:J57)</f>
        <v>0</v>
      </c>
      <c r="I35" s="354">
        <f>AVERAGE(Financials!E37:I37)</f>
        <v>0</v>
      </c>
      <c r="J35" s="354">
        <f>AVERAGE(Financials!E38:I38)</f>
        <v>0</v>
      </c>
      <c r="K35" s="144"/>
      <c r="L35" s="144"/>
      <c r="M35" s="144"/>
      <c r="N35" s="144"/>
      <c r="O35" s="144"/>
      <c r="P35" s="144"/>
      <c r="Q35" s="144"/>
      <c r="R35" s="579"/>
      <c r="S35" s="579"/>
      <c r="T35" s="579"/>
      <c r="U35" s="579"/>
      <c r="V35" s="579"/>
      <c r="W35" s="579"/>
    </row>
    <row r="36" spans="2:23" x14ac:dyDescent="0.25">
      <c r="B36" s="144"/>
      <c r="C36" s="144"/>
      <c r="D36" s="144"/>
      <c r="E36" s="144"/>
      <c r="F36" s="144"/>
      <c r="G36" s="144"/>
      <c r="H36" s="144"/>
      <c r="I36" s="144"/>
      <c r="J36" s="144"/>
      <c r="K36" s="144"/>
      <c r="L36" s="144"/>
      <c r="M36" s="144"/>
      <c r="N36" s="144"/>
      <c r="O36" s="144"/>
      <c r="P36" s="144"/>
      <c r="Q36" s="144"/>
      <c r="R36" s="579"/>
      <c r="S36" s="579"/>
      <c r="T36" s="579"/>
      <c r="U36" s="579"/>
      <c r="V36" s="579"/>
      <c r="W36" s="579"/>
    </row>
    <row r="37" spans="2:23" ht="18.75" x14ac:dyDescent="0.3">
      <c r="B37" s="144"/>
      <c r="C37" s="304" t="s">
        <v>584</v>
      </c>
      <c r="D37" s="144"/>
      <c r="E37" s="588"/>
      <c r="F37" s="588"/>
      <c r="G37" s="588"/>
      <c r="H37" s="588"/>
      <c r="I37" s="588"/>
      <c r="J37" s="588"/>
      <c r="K37" s="588"/>
      <c r="L37" s="588"/>
      <c r="M37" s="588"/>
      <c r="N37" s="588"/>
      <c r="O37" s="588"/>
      <c r="P37" s="588"/>
      <c r="Q37" s="144"/>
      <c r="R37" s="579"/>
      <c r="S37" s="579"/>
      <c r="T37" s="579"/>
      <c r="U37" s="579"/>
      <c r="V37" s="579"/>
      <c r="W37" s="579"/>
    </row>
    <row r="38" spans="2:23" s="339" customFormat="1" x14ac:dyDescent="0.25">
      <c r="B38" s="346"/>
      <c r="C38" s="788" t="s">
        <v>582</v>
      </c>
      <c r="D38" s="789"/>
      <c r="E38" s="614" t="s">
        <v>61</v>
      </c>
      <c r="F38" s="614" t="s">
        <v>77</v>
      </c>
      <c r="G38" s="614" t="s">
        <v>78</v>
      </c>
      <c r="H38" s="614" t="s">
        <v>79</v>
      </c>
      <c r="I38" s="614" t="s">
        <v>80</v>
      </c>
      <c r="J38" s="616" t="s">
        <v>580</v>
      </c>
      <c r="K38" s="606"/>
      <c r="L38" s="606"/>
      <c r="M38" s="606"/>
      <c r="N38" s="606"/>
      <c r="O38" s="606"/>
      <c r="P38" s="606"/>
      <c r="Q38" s="346"/>
      <c r="R38" s="621"/>
      <c r="S38" s="621"/>
      <c r="T38" s="621"/>
      <c r="U38" s="621"/>
      <c r="V38" s="621"/>
      <c r="W38" s="621"/>
    </row>
    <row r="39" spans="2:23" x14ac:dyDescent="0.25">
      <c r="B39" s="144"/>
      <c r="C39" s="786" t="str">
        <f>E9</f>
        <v>Residential</v>
      </c>
      <c r="D39" s="607" t="str">
        <f>C11</f>
        <v>Fixed charge KES per month</v>
      </c>
      <c r="E39" s="615" t="e">
        <f>'Tariff Calculator'!E84*'Tariff Inputs'!$G102</f>
        <v>#DIV/0!</v>
      </c>
      <c r="F39" s="615" t="e">
        <f>'Tariff Calculator'!F84*'Tariff Inputs'!$G102</f>
        <v>#DIV/0!</v>
      </c>
      <c r="G39" s="615" t="e">
        <f>'Tariff Calculator'!G84*'Tariff Inputs'!$G102</f>
        <v>#DIV/0!</v>
      </c>
      <c r="H39" s="615" t="e">
        <f>'Tariff Calculator'!H84*'Tariff Inputs'!$G102</f>
        <v>#DIV/0!</v>
      </c>
      <c r="I39" s="615" t="e">
        <f>'Tariff Calculator'!I84*'Tariff Inputs'!$G102</f>
        <v>#DIV/0!</v>
      </c>
      <c r="J39" s="617" t="e">
        <f>AVERAGE(E39:I39)</f>
        <v>#DIV/0!</v>
      </c>
      <c r="K39" s="588"/>
      <c r="L39" s="588"/>
      <c r="M39" s="588"/>
      <c r="N39" s="588"/>
      <c r="O39" s="588"/>
      <c r="P39" s="588"/>
      <c r="Q39" s="144"/>
      <c r="R39" s="579"/>
      <c r="S39" s="579"/>
      <c r="T39" s="579"/>
      <c r="U39" s="579"/>
      <c r="V39" s="579"/>
      <c r="W39" s="579"/>
    </row>
    <row r="40" spans="2:23" x14ac:dyDescent="0.25">
      <c r="B40" s="144"/>
      <c r="C40" s="787"/>
      <c r="D40" s="607" t="str">
        <f>C12</f>
        <v>Energy charge KES/Kwh</v>
      </c>
      <c r="E40" s="615" t="e">
        <f>(E48-'Tariff Calculator'!E81)*'Tariff Inputs'!$G102</f>
        <v>#DIV/0!</v>
      </c>
      <c r="F40" s="615" t="e">
        <f>(F48-'Tariff Calculator'!F81)*'Tariff Inputs'!$G102</f>
        <v>#DIV/0!</v>
      </c>
      <c r="G40" s="615" t="e">
        <f>(G48-'Tariff Calculator'!G81)*'Tariff Inputs'!$G102</f>
        <v>#DIV/0!</v>
      </c>
      <c r="H40" s="615" t="e">
        <f>(H48-'Tariff Calculator'!H81)*'Tariff Inputs'!$G102</f>
        <v>#DIV/0!</v>
      </c>
      <c r="I40" s="615" t="e">
        <f>(I48-'Tariff Calculator'!I81)*'Tariff Inputs'!$G102</f>
        <v>#DIV/0!</v>
      </c>
      <c r="J40" s="617" t="e">
        <f t="shared" ref="J40:J46" si="0">AVERAGE(E40:I40)</f>
        <v>#DIV/0!</v>
      </c>
      <c r="K40" s="588"/>
      <c r="L40" s="588"/>
      <c r="M40" s="588"/>
      <c r="N40" s="588"/>
      <c r="O40" s="588"/>
      <c r="P40" s="588"/>
      <c r="Q40" s="144"/>
      <c r="R40" s="579"/>
      <c r="S40" s="579"/>
      <c r="T40" s="579"/>
      <c r="U40" s="579"/>
      <c r="V40" s="579"/>
      <c r="W40" s="579"/>
    </row>
    <row r="41" spans="2:23" x14ac:dyDescent="0.25">
      <c r="B41" s="144"/>
      <c r="C41" s="786" t="str">
        <f>F9</f>
        <v>Institutions</v>
      </c>
      <c r="D41" s="607" t="str">
        <f>C11</f>
        <v>Fixed charge KES per month</v>
      </c>
      <c r="E41" s="615" t="e">
        <f>'Tariff Calculator'!E84*'Tariff Inputs'!$G103</f>
        <v>#DIV/0!</v>
      </c>
      <c r="F41" s="615" t="e">
        <f>'Tariff Calculator'!F84*'Tariff Inputs'!$G103</f>
        <v>#DIV/0!</v>
      </c>
      <c r="G41" s="615" t="e">
        <f>'Tariff Calculator'!G84*'Tariff Inputs'!$G103</f>
        <v>#DIV/0!</v>
      </c>
      <c r="H41" s="615" t="e">
        <f>'Tariff Calculator'!H84*'Tariff Inputs'!$G103</f>
        <v>#DIV/0!</v>
      </c>
      <c r="I41" s="615" t="e">
        <f>'Tariff Calculator'!I84*'Tariff Inputs'!$G103</f>
        <v>#DIV/0!</v>
      </c>
      <c r="J41" s="617" t="e">
        <f t="shared" si="0"/>
        <v>#DIV/0!</v>
      </c>
      <c r="K41" s="588"/>
      <c r="L41" s="588"/>
      <c r="M41" s="588"/>
      <c r="N41" s="588"/>
      <c r="O41" s="588"/>
      <c r="P41" s="588"/>
      <c r="Q41" s="144"/>
      <c r="R41" s="579"/>
      <c r="S41" s="579"/>
      <c r="T41" s="579"/>
      <c r="U41" s="579"/>
      <c r="V41" s="579"/>
      <c r="W41" s="579"/>
    </row>
    <row r="42" spans="2:23" x14ac:dyDescent="0.25">
      <c r="B42" s="144"/>
      <c r="C42" s="787"/>
      <c r="D42" s="607" t="str">
        <f>C12</f>
        <v>Energy charge KES/Kwh</v>
      </c>
      <c r="E42" s="615" t="e">
        <f>(E48-'Tariff Calculator'!E81)*'Tariff Inputs'!$G103</f>
        <v>#DIV/0!</v>
      </c>
      <c r="F42" s="615" t="e">
        <f>(F48-'Tariff Calculator'!F81)*'Tariff Inputs'!$G103</f>
        <v>#DIV/0!</v>
      </c>
      <c r="G42" s="615" t="e">
        <f>(G48-'Tariff Calculator'!G81)*'Tariff Inputs'!$G103</f>
        <v>#DIV/0!</v>
      </c>
      <c r="H42" s="615" t="e">
        <f>(H48-'Tariff Calculator'!H81)*'Tariff Inputs'!$G103</f>
        <v>#DIV/0!</v>
      </c>
      <c r="I42" s="615" t="e">
        <f>(I48-'Tariff Calculator'!I81)*'Tariff Inputs'!$G103</f>
        <v>#DIV/0!</v>
      </c>
      <c r="J42" s="617" t="e">
        <f t="shared" si="0"/>
        <v>#DIV/0!</v>
      </c>
      <c r="K42" s="588"/>
      <c r="L42" s="588"/>
      <c r="M42" s="588"/>
      <c r="N42" s="588"/>
      <c r="O42" s="588"/>
      <c r="P42" s="588"/>
      <c r="Q42" s="144"/>
      <c r="R42" s="579"/>
      <c r="S42" s="579"/>
      <c r="T42" s="579"/>
      <c r="U42" s="579"/>
      <c r="V42" s="579"/>
      <c r="W42" s="579"/>
    </row>
    <row r="43" spans="2:23" x14ac:dyDescent="0.25">
      <c r="B43" s="144"/>
      <c r="C43" s="786" t="str">
        <f>G9</f>
        <v>Business</v>
      </c>
      <c r="D43" s="607" t="str">
        <f>C11</f>
        <v>Fixed charge KES per month</v>
      </c>
      <c r="E43" s="615" t="e">
        <f>'Tariff Calculator'!E84*'Tariff Inputs'!$G104</f>
        <v>#DIV/0!</v>
      </c>
      <c r="F43" s="615" t="e">
        <f>'Tariff Calculator'!F84*'Tariff Inputs'!$G104</f>
        <v>#DIV/0!</v>
      </c>
      <c r="G43" s="615" t="e">
        <f>'Tariff Calculator'!G84*'Tariff Inputs'!$G104</f>
        <v>#DIV/0!</v>
      </c>
      <c r="H43" s="615" t="e">
        <f>'Tariff Calculator'!H84*'Tariff Inputs'!$G104</f>
        <v>#DIV/0!</v>
      </c>
      <c r="I43" s="615" t="e">
        <f>'Tariff Calculator'!I84*'Tariff Inputs'!$G104</f>
        <v>#DIV/0!</v>
      </c>
      <c r="J43" s="617" t="e">
        <f t="shared" si="0"/>
        <v>#DIV/0!</v>
      </c>
      <c r="K43" s="588"/>
      <c r="L43" s="588"/>
      <c r="M43" s="588"/>
      <c r="N43" s="588"/>
      <c r="O43" s="588"/>
      <c r="P43" s="588"/>
      <c r="Q43" s="144"/>
      <c r="R43" s="579"/>
      <c r="S43" s="579"/>
      <c r="T43" s="579"/>
      <c r="U43" s="579"/>
      <c r="V43" s="579"/>
      <c r="W43" s="579"/>
    </row>
    <row r="44" spans="2:23" x14ac:dyDescent="0.25">
      <c r="B44" s="144"/>
      <c r="C44" s="787"/>
      <c r="D44" s="607" t="str">
        <f>C12</f>
        <v>Energy charge KES/Kwh</v>
      </c>
      <c r="E44" s="615" t="e">
        <f>(E48-'Tariff Calculator'!E81)*'Tariff Inputs'!$G104</f>
        <v>#DIV/0!</v>
      </c>
      <c r="F44" s="615" t="e">
        <f>(F48-'Tariff Calculator'!F81)*'Tariff Inputs'!$G104</f>
        <v>#DIV/0!</v>
      </c>
      <c r="G44" s="615" t="e">
        <f>(G48-'Tariff Calculator'!G81)*'Tariff Inputs'!$G104</f>
        <v>#DIV/0!</v>
      </c>
      <c r="H44" s="615" t="e">
        <f>(H48-'Tariff Calculator'!H81)*'Tariff Inputs'!$G104</f>
        <v>#DIV/0!</v>
      </c>
      <c r="I44" s="615" t="e">
        <f>(I48-'Tariff Calculator'!I81)*'Tariff Inputs'!$G104</f>
        <v>#DIV/0!</v>
      </c>
      <c r="J44" s="617" t="e">
        <f t="shared" si="0"/>
        <v>#DIV/0!</v>
      </c>
      <c r="K44" s="588"/>
      <c r="L44" s="588"/>
      <c r="M44" s="588"/>
      <c r="N44" s="588"/>
      <c r="O44" s="588"/>
      <c r="P44" s="588"/>
      <c r="Q44" s="144"/>
      <c r="R44" s="579"/>
      <c r="S44" s="579"/>
      <c r="T44" s="579"/>
      <c r="U44" s="579"/>
      <c r="V44" s="579"/>
      <c r="W44" s="579"/>
    </row>
    <row r="45" spans="2:23" x14ac:dyDescent="0.25">
      <c r="B45" s="144"/>
      <c r="C45" s="610" t="str">
        <f>H9</f>
        <v>Anchor</v>
      </c>
      <c r="D45" s="607" t="str">
        <f>C11</f>
        <v>Fixed charge KES per month</v>
      </c>
      <c r="E45" s="615" t="e">
        <f>'Tariff Calculator'!E84*'Tariff Inputs'!$G105</f>
        <v>#DIV/0!</v>
      </c>
      <c r="F45" s="615" t="e">
        <f>'Tariff Calculator'!F84*'Tariff Inputs'!$G105</f>
        <v>#DIV/0!</v>
      </c>
      <c r="G45" s="615" t="e">
        <f>'Tariff Calculator'!G84*'Tariff Inputs'!$G105</f>
        <v>#DIV/0!</v>
      </c>
      <c r="H45" s="615" t="e">
        <f>'Tariff Calculator'!H84*'Tariff Inputs'!$G105</f>
        <v>#DIV/0!</v>
      </c>
      <c r="I45" s="615" t="e">
        <f>'Tariff Calculator'!I84*'Tariff Inputs'!$G105</f>
        <v>#DIV/0!</v>
      </c>
      <c r="J45" s="617" t="e">
        <f t="shared" si="0"/>
        <v>#DIV/0!</v>
      </c>
      <c r="K45" s="588"/>
      <c r="L45" s="588"/>
      <c r="M45" s="588"/>
      <c r="N45" s="588"/>
      <c r="O45" s="588"/>
      <c r="P45" s="588"/>
      <c r="Q45" s="144"/>
      <c r="R45" s="579"/>
      <c r="S45" s="579"/>
      <c r="T45" s="579"/>
      <c r="U45" s="579"/>
      <c r="V45" s="579"/>
      <c r="W45" s="579"/>
    </row>
    <row r="46" spans="2:23" x14ac:dyDescent="0.25">
      <c r="B46" s="144"/>
      <c r="C46" s="611"/>
      <c r="D46" s="607" t="str">
        <f>C12</f>
        <v>Energy charge KES/Kwh</v>
      </c>
      <c r="E46" s="615" t="e">
        <f>(E48-'Tariff Calculator'!E81)*'Tariff Inputs'!$G105</f>
        <v>#DIV/0!</v>
      </c>
      <c r="F46" s="615" t="e">
        <f>(F48-'Tariff Calculator'!F81)*'Tariff Inputs'!$G105</f>
        <v>#DIV/0!</v>
      </c>
      <c r="G46" s="615" t="e">
        <f>(G48-'Tariff Calculator'!G81)*'Tariff Inputs'!$G105</f>
        <v>#DIV/0!</v>
      </c>
      <c r="H46" s="615" t="e">
        <f>(H48-'Tariff Calculator'!H81)*'Tariff Inputs'!$G105</f>
        <v>#DIV/0!</v>
      </c>
      <c r="I46" s="615" t="e">
        <f>(I48-'Tariff Calculator'!I81)*'Tariff Inputs'!$G105</f>
        <v>#DIV/0!</v>
      </c>
      <c r="J46" s="617" t="e">
        <f t="shared" si="0"/>
        <v>#DIV/0!</v>
      </c>
      <c r="K46" s="588"/>
      <c r="L46" s="588"/>
      <c r="M46" s="588"/>
      <c r="N46" s="588"/>
      <c r="O46" s="588"/>
      <c r="P46" s="588"/>
      <c r="Q46" s="144"/>
      <c r="R46" s="579"/>
      <c r="S46" s="579"/>
      <c r="T46" s="579"/>
      <c r="U46" s="579"/>
      <c r="V46" s="579"/>
      <c r="W46" s="579"/>
    </row>
    <row r="47" spans="2:23" x14ac:dyDescent="0.25">
      <c r="B47" s="144"/>
      <c r="C47" s="612"/>
      <c r="D47" s="612"/>
      <c r="E47" s="613"/>
      <c r="F47" s="613"/>
      <c r="G47" s="613"/>
      <c r="H47" s="613"/>
      <c r="I47" s="613"/>
      <c r="J47" s="613"/>
      <c r="K47" s="588"/>
      <c r="L47" s="588"/>
      <c r="M47" s="588"/>
      <c r="N47" s="588"/>
      <c r="O47" s="588"/>
      <c r="P47" s="588"/>
      <c r="Q47" s="144"/>
      <c r="R47" s="579"/>
      <c r="S47" s="579"/>
      <c r="T47" s="579"/>
      <c r="U47" s="579"/>
      <c r="V47" s="579"/>
      <c r="W47" s="579"/>
    </row>
    <row r="48" spans="2:23" x14ac:dyDescent="0.25">
      <c r="B48" s="144"/>
      <c r="C48" s="609" t="s">
        <v>585</v>
      </c>
      <c r="D48" s="609"/>
      <c r="E48" s="608">
        <f>'Tariff Calculator'!E41</f>
        <v>0</v>
      </c>
      <c r="F48" s="608">
        <f>'Tariff Calculator'!F41</f>
        <v>0</v>
      </c>
      <c r="G48" s="608">
        <f>'Tariff Calculator'!G41</f>
        <v>0</v>
      </c>
      <c r="H48" s="608">
        <f>'Tariff Calculator'!H41</f>
        <v>0</v>
      </c>
      <c r="I48" s="608">
        <f>'Tariff Calculator'!I41</f>
        <v>0</v>
      </c>
      <c r="J48" s="608">
        <f>AVERAGE(E48:I48)</f>
        <v>0</v>
      </c>
      <c r="K48" s="588"/>
      <c r="L48" s="588"/>
      <c r="M48" s="588"/>
      <c r="N48" s="588"/>
      <c r="O48" s="588"/>
      <c r="P48" s="588"/>
      <c r="Q48" s="144"/>
      <c r="R48" s="579"/>
      <c r="S48" s="579"/>
      <c r="T48" s="579"/>
      <c r="U48" s="579"/>
      <c r="V48" s="579"/>
      <c r="W48" s="579"/>
    </row>
    <row r="49" spans="2:23" x14ac:dyDescent="0.25">
      <c r="B49" s="144"/>
      <c r="C49" s="144"/>
      <c r="D49" s="144"/>
      <c r="E49" s="588"/>
      <c r="F49" s="588"/>
      <c r="G49" s="588"/>
      <c r="H49" s="588"/>
      <c r="I49" s="588"/>
      <c r="J49" s="588"/>
      <c r="K49" s="588"/>
      <c r="L49" s="588"/>
      <c r="M49" s="588"/>
      <c r="N49" s="588"/>
      <c r="O49" s="588"/>
      <c r="P49" s="588"/>
      <c r="Q49" s="144"/>
      <c r="R49" s="579"/>
      <c r="S49" s="579"/>
      <c r="T49" s="579"/>
      <c r="U49" s="579"/>
      <c r="V49" s="579"/>
      <c r="W49" s="579"/>
    </row>
    <row r="50" spans="2:23" ht="18.75" x14ac:dyDescent="0.3">
      <c r="B50" s="144"/>
      <c r="C50" s="304" t="s">
        <v>587</v>
      </c>
      <c r="D50" s="144"/>
      <c r="E50" s="588"/>
      <c r="F50" s="588"/>
      <c r="G50" s="588"/>
      <c r="H50" s="588"/>
      <c r="I50" s="588"/>
      <c r="J50" s="588"/>
      <c r="K50" s="588"/>
      <c r="L50" s="588"/>
      <c r="M50" s="588"/>
      <c r="N50" s="588"/>
      <c r="O50" s="588"/>
      <c r="P50" s="588"/>
      <c r="Q50" s="144"/>
      <c r="R50" s="579"/>
      <c r="S50" s="579"/>
      <c r="T50" s="579"/>
      <c r="U50" s="579"/>
      <c r="V50" s="579"/>
      <c r="W50" s="579"/>
    </row>
    <row r="51" spans="2:23" s="339" customFormat="1" x14ac:dyDescent="0.25">
      <c r="B51" s="346"/>
      <c r="C51" s="788" t="s">
        <v>582</v>
      </c>
      <c r="D51" s="789"/>
      <c r="E51" s="614" t="s">
        <v>61</v>
      </c>
      <c r="F51" s="614" t="s">
        <v>77</v>
      </c>
      <c r="G51" s="614" t="s">
        <v>78</v>
      </c>
      <c r="H51" s="614" t="s">
        <v>79</v>
      </c>
      <c r="I51" s="614" t="s">
        <v>80</v>
      </c>
      <c r="J51" s="616" t="s">
        <v>580</v>
      </c>
      <c r="K51" s="606"/>
      <c r="L51" s="606"/>
      <c r="M51" s="606"/>
      <c r="N51" s="606"/>
      <c r="O51" s="606"/>
      <c r="P51" s="606"/>
      <c r="Q51" s="346"/>
      <c r="R51" s="621"/>
      <c r="S51" s="621"/>
      <c r="T51" s="621"/>
      <c r="U51" s="621"/>
      <c r="V51" s="621"/>
      <c r="W51" s="621"/>
    </row>
    <row r="52" spans="2:23" x14ac:dyDescent="0.25">
      <c r="B52" s="144"/>
      <c r="C52" s="786" t="str">
        <f>C39</f>
        <v>Residential</v>
      </c>
      <c r="D52" s="607" t="str">
        <f>D39</f>
        <v>Fixed charge KES per month</v>
      </c>
      <c r="E52" s="618" t="e">
        <f>'Tariff Calculator'!E84*'Tariff Inputs'!$G102</f>
        <v>#DIV/0!</v>
      </c>
      <c r="F52" s="618" t="e">
        <f>'Tariff Calculator'!F84*'Tariff Inputs'!$G102</f>
        <v>#DIV/0!</v>
      </c>
      <c r="G52" s="618" t="e">
        <f>'Tariff Calculator'!G84*'Tariff Inputs'!$G102</f>
        <v>#DIV/0!</v>
      </c>
      <c r="H52" s="618" t="e">
        <f>'Tariff Calculator'!H84*'Tariff Inputs'!$G102</f>
        <v>#DIV/0!</v>
      </c>
      <c r="I52" s="618" t="e">
        <f>'Tariff Calculator'!I84*'Tariff Inputs'!$G102</f>
        <v>#DIV/0!</v>
      </c>
      <c r="J52" s="619" t="e">
        <f>AVERAGE(E52:I52)</f>
        <v>#DIV/0!</v>
      </c>
      <c r="K52" s="588"/>
      <c r="L52" s="588"/>
      <c r="M52" s="588"/>
      <c r="N52" s="588"/>
      <c r="O52" s="588"/>
      <c r="P52" s="588"/>
      <c r="Q52" s="144"/>
      <c r="R52" s="579"/>
      <c r="S52" s="579"/>
      <c r="T52" s="579"/>
      <c r="U52" s="579"/>
      <c r="V52" s="579"/>
      <c r="W52" s="579"/>
    </row>
    <row r="53" spans="2:23" x14ac:dyDescent="0.25">
      <c r="B53" s="144"/>
      <c r="C53" s="787"/>
      <c r="D53" s="607" t="str">
        <f t="shared" ref="D53:D59" si="1">D40</f>
        <v>Energy charge KES/Kwh</v>
      </c>
      <c r="E53" s="618" t="e">
        <f>(E61-'Tariff Calculator'!E81)*'Tariff Inputs'!$G102</f>
        <v>#DIV/0!</v>
      </c>
      <c r="F53" s="618" t="e">
        <f>(F61-'Tariff Calculator'!F81)*'Tariff Inputs'!$G102</f>
        <v>#DIV/0!</v>
      </c>
      <c r="G53" s="618" t="e">
        <f>(G61-'Tariff Calculator'!G81)*'Tariff Inputs'!$G102</f>
        <v>#DIV/0!</v>
      </c>
      <c r="H53" s="618" t="e">
        <f>(H61-'Tariff Calculator'!H81)*'Tariff Inputs'!$G102</f>
        <v>#DIV/0!</v>
      </c>
      <c r="I53" s="618" t="e">
        <f>(I61-'Tariff Calculator'!I81)*'Tariff Inputs'!$G102</f>
        <v>#DIV/0!</v>
      </c>
      <c r="J53" s="619" t="e">
        <f t="shared" ref="J53:J59" si="2">AVERAGE(E53:I53)</f>
        <v>#DIV/0!</v>
      </c>
      <c r="K53" s="588"/>
      <c r="L53" s="588"/>
      <c r="M53" s="588"/>
      <c r="N53" s="588"/>
      <c r="O53" s="588"/>
      <c r="P53" s="588"/>
      <c r="Q53" s="144"/>
      <c r="R53" s="579"/>
      <c r="S53" s="579"/>
      <c r="T53" s="579"/>
      <c r="U53" s="579"/>
      <c r="V53" s="579"/>
      <c r="W53" s="579"/>
    </row>
    <row r="54" spans="2:23" x14ac:dyDescent="0.25">
      <c r="B54" s="144"/>
      <c r="C54" s="786" t="str">
        <f>C41</f>
        <v>Institutions</v>
      </c>
      <c r="D54" s="607" t="str">
        <f t="shared" si="1"/>
        <v>Fixed charge KES per month</v>
      </c>
      <c r="E54" s="618" t="e">
        <f>'Tariff Calculator'!E84*'Tariff Inputs'!$G103</f>
        <v>#DIV/0!</v>
      </c>
      <c r="F54" s="618" t="e">
        <f>'Tariff Calculator'!F84*'Tariff Inputs'!$G103</f>
        <v>#DIV/0!</v>
      </c>
      <c r="G54" s="618" t="e">
        <f>'Tariff Calculator'!G84*'Tariff Inputs'!$G103</f>
        <v>#DIV/0!</v>
      </c>
      <c r="H54" s="618" t="e">
        <f>'Tariff Calculator'!H84*'Tariff Inputs'!$G103</f>
        <v>#DIV/0!</v>
      </c>
      <c r="I54" s="618" t="e">
        <f>'Tariff Calculator'!I84*'Tariff Inputs'!$G103</f>
        <v>#DIV/0!</v>
      </c>
      <c r="J54" s="619" t="e">
        <f t="shared" si="2"/>
        <v>#DIV/0!</v>
      </c>
      <c r="K54" s="588"/>
      <c r="L54" s="588"/>
      <c r="M54" s="588"/>
      <c r="N54" s="588"/>
      <c r="O54" s="588"/>
      <c r="P54" s="588"/>
      <c r="Q54" s="144"/>
      <c r="R54" s="579"/>
      <c r="S54" s="579"/>
      <c r="T54" s="579"/>
      <c r="U54" s="579"/>
      <c r="V54" s="579"/>
      <c r="W54" s="579"/>
    </row>
    <row r="55" spans="2:23" x14ac:dyDescent="0.25">
      <c r="B55" s="144"/>
      <c r="C55" s="787"/>
      <c r="D55" s="607" t="str">
        <f t="shared" si="1"/>
        <v>Energy charge KES/Kwh</v>
      </c>
      <c r="E55" s="618" t="e">
        <f>(E61-'Tariff Calculator'!E81)*'Tariff Inputs'!$G103</f>
        <v>#DIV/0!</v>
      </c>
      <c r="F55" s="618" t="e">
        <f>(F61-'Tariff Calculator'!F81)*'Tariff Inputs'!$G103</f>
        <v>#DIV/0!</v>
      </c>
      <c r="G55" s="618" t="e">
        <f>(G61-'Tariff Calculator'!G81)*'Tariff Inputs'!$G103</f>
        <v>#DIV/0!</v>
      </c>
      <c r="H55" s="618" t="e">
        <f>(H61-'Tariff Calculator'!H81)*'Tariff Inputs'!$G103</f>
        <v>#DIV/0!</v>
      </c>
      <c r="I55" s="618" t="e">
        <f>(I61-'Tariff Calculator'!I81)*'Tariff Inputs'!$G103</f>
        <v>#DIV/0!</v>
      </c>
      <c r="J55" s="619" t="e">
        <f t="shared" si="2"/>
        <v>#DIV/0!</v>
      </c>
      <c r="K55" s="588"/>
      <c r="L55" s="588"/>
      <c r="M55" s="588"/>
      <c r="N55" s="588"/>
      <c r="O55" s="588"/>
      <c r="P55" s="588"/>
      <c r="Q55" s="144"/>
      <c r="R55" s="579"/>
      <c r="S55" s="579"/>
      <c r="T55" s="579"/>
      <c r="U55" s="579"/>
      <c r="V55" s="579"/>
      <c r="W55" s="579"/>
    </row>
    <row r="56" spans="2:23" x14ac:dyDescent="0.25">
      <c r="B56" s="144"/>
      <c r="C56" s="786" t="str">
        <f>C43</f>
        <v>Business</v>
      </c>
      <c r="D56" s="607" t="str">
        <f t="shared" si="1"/>
        <v>Fixed charge KES per month</v>
      </c>
      <c r="E56" s="618" t="e">
        <f>'Tariff Calculator'!E84*'Tariff Inputs'!$G104</f>
        <v>#DIV/0!</v>
      </c>
      <c r="F56" s="618" t="e">
        <f>'Tariff Calculator'!F84*'Tariff Inputs'!$G104</f>
        <v>#DIV/0!</v>
      </c>
      <c r="G56" s="618" t="e">
        <f>'Tariff Calculator'!G84*'Tariff Inputs'!$G104</f>
        <v>#DIV/0!</v>
      </c>
      <c r="H56" s="618" t="e">
        <f>'Tariff Calculator'!H84*'Tariff Inputs'!$G104</f>
        <v>#DIV/0!</v>
      </c>
      <c r="I56" s="618" t="e">
        <f>'Tariff Calculator'!I84*'Tariff Inputs'!$G104</f>
        <v>#DIV/0!</v>
      </c>
      <c r="J56" s="619" t="e">
        <f t="shared" si="2"/>
        <v>#DIV/0!</v>
      </c>
      <c r="K56" s="588"/>
      <c r="L56" s="588"/>
      <c r="M56" s="588"/>
      <c r="N56" s="588"/>
      <c r="O56" s="588"/>
      <c r="P56" s="588"/>
      <c r="Q56" s="144"/>
      <c r="R56" s="579"/>
      <c r="S56" s="579"/>
      <c r="T56" s="579"/>
      <c r="U56" s="579"/>
      <c r="V56" s="579"/>
      <c r="W56" s="579"/>
    </row>
    <row r="57" spans="2:23" x14ac:dyDescent="0.25">
      <c r="B57" s="144"/>
      <c r="C57" s="787"/>
      <c r="D57" s="607" t="str">
        <f t="shared" si="1"/>
        <v>Energy charge KES/Kwh</v>
      </c>
      <c r="E57" s="618" t="e">
        <f>(E61-'Tariff Calculator'!E81)*'Tariff Inputs'!$G104</f>
        <v>#DIV/0!</v>
      </c>
      <c r="F57" s="618" t="e">
        <f>(F61-'Tariff Calculator'!F81)*'Tariff Inputs'!$G104</f>
        <v>#DIV/0!</v>
      </c>
      <c r="G57" s="618" t="e">
        <f>(G61-'Tariff Calculator'!G81)*'Tariff Inputs'!$G104</f>
        <v>#DIV/0!</v>
      </c>
      <c r="H57" s="618" t="e">
        <f>(H61-'Tariff Calculator'!H81)*'Tariff Inputs'!$G104</f>
        <v>#DIV/0!</v>
      </c>
      <c r="I57" s="618" t="e">
        <f>(I61-'Tariff Calculator'!I81)*'Tariff Inputs'!$G104</f>
        <v>#DIV/0!</v>
      </c>
      <c r="J57" s="619" t="e">
        <f t="shared" si="2"/>
        <v>#DIV/0!</v>
      </c>
      <c r="K57" s="588"/>
      <c r="L57" s="588"/>
      <c r="M57" s="588"/>
      <c r="N57" s="588"/>
      <c r="O57" s="588"/>
      <c r="P57" s="588"/>
      <c r="Q57" s="144"/>
      <c r="R57" s="579"/>
      <c r="S57" s="579"/>
      <c r="T57" s="579"/>
      <c r="U57" s="579"/>
      <c r="V57" s="579"/>
      <c r="W57" s="579"/>
    </row>
    <row r="58" spans="2:23" x14ac:dyDescent="0.25">
      <c r="B58" s="144"/>
      <c r="C58" s="786" t="str">
        <f>C45</f>
        <v>Anchor</v>
      </c>
      <c r="D58" s="607" t="str">
        <f t="shared" si="1"/>
        <v>Fixed charge KES per month</v>
      </c>
      <c r="E58" s="618" t="e">
        <f>'Tariff Calculator'!E84*'Tariff Inputs'!$G105</f>
        <v>#DIV/0!</v>
      </c>
      <c r="F58" s="618" t="e">
        <f>'Tariff Calculator'!F84*'Tariff Inputs'!$G105</f>
        <v>#DIV/0!</v>
      </c>
      <c r="G58" s="618" t="e">
        <f>'Tariff Calculator'!G84*'Tariff Inputs'!$G105</f>
        <v>#DIV/0!</v>
      </c>
      <c r="H58" s="618" t="e">
        <f>'Tariff Calculator'!H84*'Tariff Inputs'!$G105</f>
        <v>#DIV/0!</v>
      </c>
      <c r="I58" s="618" t="e">
        <f>'Tariff Calculator'!I84*'Tariff Inputs'!$G105</f>
        <v>#DIV/0!</v>
      </c>
      <c r="J58" s="619" t="e">
        <f t="shared" si="2"/>
        <v>#DIV/0!</v>
      </c>
      <c r="K58" s="588"/>
      <c r="L58" s="588"/>
      <c r="M58" s="588"/>
      <c r="N58" s="588"/>
      <c r="O58" s="588"/>
      <c r="P58" s="588"/>
      <c r="Q58" s="144"/>
      <c r="R58" s="579"/>
      <c r="S58" s="579"/>
      <c r="T58" s="579"/>
      <c r="U58" s="579"/>
      <c r="V58" s="579"/>
      <c r="W58" s="579"/>
    </row>
    <row r="59" spans="2:23" x14ac:dyDescent="0.25">
      <c r="B59" s="144"/>
      <c r="C59" s="787"/>
      <c r="D59" s="607" t="str">
        <f t="shared" si="1"/>
        <v>Energy charge KES/Kwh</v>
      </c>
      <c r="E59" s="618" t="e">
        <f>(E61-'Tariff Calculator'!E81)*'Tariff Inputs'!$G105</f>
        <v>#DIV/0!</v>
      </c>
      <c r="F59" s="618" t="e">
        <f>(F61-'Tariff Calculator'!F81)*'Tariff Inputs'!$G105</f>
        <v>#DIV/0!</v>
      </c>
      <c r="G59" s="618" t="e">
        <f>(G61-'Tariff Calculator'!G81)*'Tariff Inputs'!$G105</f>
        <v>#DIV/0!</v>
      </c>
      <c r="H59" s="618" t="e">
        <f>(H61-'Tariff Calculator'!H81)*'Tariff Inputs'!$G105</f>
        <v>#DIV/0!</v>
      </c>
      <c r="I59" s="618" t="e">
        <f>(I61-'Tariff Calculator'!I81)*'Tariff Inputs'!$G105</f>
        <v>#DIV/0!</v>
      </c>
      <c r="J59" s="619" t="e">
        <f t="shared" si="2"/>
        <v>#DIV/0!</v>
      </c>
      <c r="K59" s="588"/>
      <c r="L59" s="588"/>
      <c r="M59" s="588"/>
      <c r="N59" s="588"/>
      <c r="O59" s="588"/>
      <c r="P59" s="588"/>
      <c r="Q59" s="144"/>
      <c r="R59" s="579"/>
      <c r="S59" s="579"/>
      <c r="T59" s="579"/>
      <c r="U59" s="579"/>
      <c r="V59" s="579"/>
      <c r="W59" s="579"/>
    </row>
    <row r="60" spans="2:23" x14ac:dyDescent="0.25">
      <c r="B60" s="144"/>
      <c r="C60" s="612"/>
      <c r="D60" s="612"/>
      <c r="E60" s="613"/>
      <c r="F60" s="613"/>
      <c r="G60" s="613"/>
      <c r="H60" s="613"/>
      <c r="I60" s="613"/>
      <c r="J60" s="613"/>
      <c r="K60" s="588"/>
      <c r="L60" s="588"/>
      <c r="M60" s="588"/>
      <c r="N60" s="588"/>
      <c r="O60" s="588"/>
      <c r="P60" s="588"/>
      <c r="Q60" s="144"/>
      <c r="R60" s="579"/>
      <c r="S60" s="579"/>
      <c r="T60" s="579"/>
      <c r="U60" s="579"/>
      <c r="V60" s="579"/>
      <c r="W60" s="579"/>
    </row>
    <row r="61" spans="2:23" x14ac:dyDescent="0.25">
      <c r="B61" s="144"/>
      <c r="C61" s="609" t="s">
        <v>585</v>
      </c>
      <c r="D61" s="609"/>
      <c r="E61" s="620">
        <f>'Tariff Calculator'!E53</f>
        <v>0</v>
      </c>
      <c r="F61" s="620">
        <f>'Tariff Calculator'!F53</f>
        <v>0</v>
      </c>
      <c r="G61" s="620">
        <f>'Tariff Calculator'!G53</f>
        <v>0</v>
      </c>
      <c r="H61" s="620">
        <f>'Tariff Calculator'!H53</f>
        <v>0</v>
      </c>
      <c r="I61" s="620">
        <f>'Tariff Calculator'!I53</f>
        <v>0</v>
      </c>
      <c r="J61" s="620">
        <f>AVERAGE(E61:I61)</f>
        <v>0</v>
      </c>
      <c r="K61" s="588"/>
      <c r="L61" s="588"/>
      <c r="M61" s="588"/>
      <c r="N61" s="588"/>
      <c r="O61" s="588"/>
      <c r="P61" s="588"/>
      <c r="Q61" s="144"/>
      <c r="R61" s="579"/>
      <c r="S61" s="579"/>
      <c r="T61" s="579"/>
      <c r="U61" s="579"/>
      <c r="V61" s="579"/>
      <c r="W61" s="579"/>
    </row>
    <row r="62" spans="2:23" x14ac:dyDescent="0.25">
      <c r="B62" s="144"/>
      <c r="C62" s="144"/>
      <c r="D62" s="144"/>
      <c r="E62" s="144"/>
      <c r="F62" s="144"/>
      <c r="G62" s="144"/>
      <c r="H62" s="144"/>
      <c r="I62" s="144"/>
      <c r="J62" s="144"/>
      <c r="K62" s="144"/>
      <c r="L62" s="144"/>
      <c r="M62" s="144"/>
      <c r="N62" s="144"/>
      <c r="O62" s="144"/>
      <c r="P62" s="144"/>
      <c r="Q62" s="144"/>
      <c r="R62" s="579"/>
      <c r="S62" s="579"/>
      <c r="T62" s="579"/>
      <c r="U62" s="579"/>
      <c r="V62" s="579"/>
      <c r="W62" s="579"/>
    </row>
    <row r="63" spans="2:23" x14ac:dyDescent="0.25">
      <c r="B63" s="144"/>
      <c r="C63" s="6" t="s">
        <v>261</v>
      </c>
      <c r="D63" s="6"/>
      <c r="E63" s="144"/>
      <c r="F63" s="144"/>
      <c r="G63" s="144"/>
      <c r="H63" s="144"/>
      <c r="I63" s="144"/>
      <c r="J63" s="144"/>
      <c r="K63" s="144"/>
      <c r="L63" s="144"/>
      <c r="M63" s="144"/>
      <c r="N63" s="144"/>
      <c r="O63" s="144"/>
      <c r="P63" s="144"/>
      <c r="Q63" s="144"/>
    </row>
    <row r="64" spans="2:23" ht="46.5" customHeight="1" x14ac:dyDescent="0.25">
      <c r="B64" s="144"/>
      <c r="C64" s="356" t="s">
        <v>552</v>
      </c>
      <c r="D64" s="356"/>
      <c r="E64" s="689" t="s">
        <v>561</v>
      </c>
      <c r="F64" s="690"/>
      <c r="G64" s="690"/>
      <c r="H64" s="690"/>
      <c r="I64" s="690"/>
      <c r="J64" s="690"/>
      <c r="K64" s="690"/>
      <c r="L64" s="690"/>
      <c r="M64" s="690"/>
      <c r="N64" s="690"/>
      <c r="O64" s="690"/>
      <c r="P64" s="690"/>
      <c r="Q64" s="144"/>
    </row>
    <row r="65" spans="2:17" x14ac:dyDescent="0.25">
      <c r="B65" s="144"/>
      <c r="C65" s="356"/>
      <c r="D65" s="356"/>
      <c r="E65" s="144"/>
      <c r="F65" s="144"/>
      <c r="G65" s="144"/>
      <c r="H65" s="144"/>
      <c r="I65" s="144"/>
      <c r="J65" s="144"/>
      <c r="K65" s="144"/>
      <c r="L65" s="144"/>
      <c r="M65" s="144"/>
      <c r="N65" s="144"/>
      <c r="O65" s="144"/>
      <c r="P65" s="144"/>
      <c r="Q65" s="144"/>
    </row>
    <row r="66" spans="2:17" ht="33" customHeight="1" x14ac:dyDescent="0.25">
      <c r="B66" s="144"/>
      <c r="C66" s="356" t="s">
        <v>553</v>
      </c>
      <c r="D66" s="356"/>
      <c r="E66" s="689" t="s">
        <v>560</v>
      </c>
      <c r="F66" s="689"/>
      <c r="G66" s="689"/>
      <c r="H66" s="689"/>
      <c r="I66" s="689"/>
      <c r="J66" s="689"/>
      <c r="K66" s="689"/>
      <c r="L66" s="689"/>
      <c r="M66" s="689"/>
      <c r="N66" s="689"/>
      <c r="O66" s="689"/>
      <c r="P66" s="689"/>
      <c r="Q66" s="144"/>
    </row>
    <row r="67" spans="2:17" x14ac:dyDescent="0.25">
      <c r="B67" s="144"/>
      <c r="C67" s="356"/>
      <c r="D67" s="356"/>
      <c r="E67" s="144"/>
      <c r="F67" s="144"/>
      <c r="G67" s="144"/>
      <c r="H67" s="144"/>
      <c r="I67" s="144"/>
      <c r="J67" s="144"/>
      <c r="K67" s="144"/>
      <c r="L67" s="144"/>
      <c r="M67" s="144"/>
      <c r="N67" s="144"/>
      <c r="O67" s="144"/>
      <c r="P67" s="144"/>
      <c r="Q67" s="144"/>
    </row>
    <row r="68" spans="2:17" ht="32.25" customHeight="1" x14ac:dyDescent="0.25">
      <c r="B68" s="144"/>
      <c r="C68" s="356" t="s">
        <v>554</v>
      </c>
      <c r="D68" s="356"/>
      <c r="E68" s="689" t="s">
        <v>559</v>
      </c>
      <c r="F68" s="689"/>
      <c r="G68" s="689"/>
      <c r="H68" s="689"/>
      <c r="I68" s="689"/>
      <c r="J68" s="689"/>
      <c r="K68" s="689"/>
      <c r="L68" s="689"/>
      <c r="M68" s="689"/>
      <c r="N68" s="689"/>
      <c r="O68" s="689"/>
      <c r="P68" s="689"/>
      <c r="Q68" s="144"/>
    </row>
    <row r="69" spans="2:17" x14ac:dyDescent="0.25">
      <c r="B69" s="144"/>
      <c r="C69" s="356"/>
      <c r="D69" s="356"/>
      <c r="E69" s="144"/>
      <c r="F69" s="144"/>
      <c r="G69" s="144"/>
      <c r="H69" s="144"/>
      <c r="I69" s="144"/>
      <c r="J69" s="144"/>
      <c r="K69" s="144"/>
      <c r="L69" s="144"/>
      <c r="M69" s="144"/>
      <c r="N69" s="144"/>
      <c r="O69" s="144"/>
      <c r="P69" s="144"/>
      <c r="Q69" s="144"/>
    </row>
    <row r="70" spans="2:17" ht="119.25" customHeight="1" x14ac:dyDescent="0.25">
      <c r="B70" s="144"/>
      <c r="C70" s="356" t="s">
        <v>263</v>
      </c>
      <c r="D70" s="356"/>
      <c r="E70" s="689" t="s">
        <v>558</v>
      </c>
      <c r="F70" s="689"/>
      <c r="G70" s="689"/>
      <c r="H70" s="689"/>
      <c r="I70" s="689"/>
      <c r="J70" s="689"/>
      <c r="K70" s="689"/>
      <c r="L70" s="689"/>
      <c r="M70" s="689"/>
      <c r="N70" s="689"/>
      <c r="O70" s="689"/>
      <c r="P70" s="689"/>
      <c r="Q70" s="144"/>
    </row>
    <row r="71" spans="2:17" x14ac:dyDescent="0.25">
      <c r="B71" s="144"/>
      <c r="C71" s="356"/>
      <c r="D71" s="356"/>
      <c r="E71" s="144"/>
      <c r="F71" s="144"/>
      <c r="G71" s="144"/>
      <c r="H71" s="144"/>
      <c r="I71" s="144"/>
      <c r="J71" s="144"/>
      <c r="K71" s="144"/>
      <c r="L71" s="144"/>
      <c r="M71" s="144"/>
      <c r="N71" s="144"/>
      <c r="O71" s="144"/>
      <c r="P71" s="144"/>
      <c r="Q71" s="144"/>
    </row>
    <row r="72" spans="2:17" ht="63.75" customHeight="1" x14ac:dyDescent="0.25">
      <c r="B72" s="144"/>
      <c r="C72" s="356" t="s">
        <v>264</v>
      </c>
      <c r="D72" s="356"/>
      <c r="E72" s="689" t="s">
        <v>504</v>
      </c>
      <c r="F72" s="690"/>
      <c r="G72" s="690"/>
      <c r="H72" s="690"/>
      <c r="I72" s="690"/>
      <c r="J72" s="690"/>
      <c r="K72" s="690"/>
      <c r="L72" s="690"/>
      <c r="M72" s="690"/>
      <c r="N72" s="690"/>
      <c r="O72" s="690"/>
      <c r="P72" s="690"/>
      <c r="Q72" s="144"/>
    </row>
    <row r="73" spans="2:17" x14ac:dyDescent="0.25">
      <c r="B73" s="144"/>
      <c r="C73" s="356"/>
      <c r="D73" s="356"/>
      <c r="E73" s="144"/>
      <c r="F73" s="144"/>
      <c r="G73" s="144"/>
      <c r="H73" s="144"/>
      <c r="I73" s="144"/>
      <c r="J73" s="144"/>
      <c r="K73" s="144"/>
      <c r="L73" s="144"/>
      <c r="M73" s="144"/>
      <c r="N73" s="144"/>
      <c r="O73" s="144"/>
      <c r="P73" s="144"/>
      <c r="Q73" s="144"/>
    </row>
    <row r="74" spans="2:17" ht="123" customHeight="1" x14ac:dyDescent="0.25">
      <c r="B74" s="144"/>
      <c r="C74" s="356" t="s">
        <v>262</v>
      </c>
      <c r="D74" s="356"/>
      <c r="E74" s="689" t="s">
        <v>505</v>
      </c>
      <c r="F74" s="690"/>
      <c r="G74" s="690"/>
      <c r="H74" s="690"/>
      <c r="I74" s="690"/>
      <c r="J74" s="690"/>
      <c r="K74" s="690"/>
      <c r="L74" s="690"/>
      <c r="M74" s="690"/>
      <c r="N74" s="690"/>
      <c r="O74" s="690"/>
      <c r="P74" s="690"/>
      <c r="Q74" s="144"/>
    </row>
    <row r="75" spans="2:17" x14ac:dyDescent="0.25">
      <c r="B75" s="144"/>
      <c r="C75" s="356"/>
      <c r="D75" s="356"/>
      <c r="E75" s="144"/>
      <c r="F75" s="144"/>
      <c r="G75" s="144"/>
      <c r="H75" s="144"/>
      <c r="I75" s="144"/>
      <c r="J75" s="144"/>
      <c r="K75" s="144"/>
      <c r="L75" s="144"/>
      <c r="M75" s="144"/>
      <c r="N75" s="144"/>
      <c r="O75" s="144"/>
      <c r="P75" s="144"/>
      <c r="Q75" s="144"/>
    </row>
    <row r="76" spans="2:17" ht="74.25" customHeight="1" x14ac:dyDescent="0.25">
      <c r="B76" s="144"/>
      <c r="C76" s="356" t="s">
        <v>555</v>
      </c>
      <c r="D76" s="356"/>
      <c r="E76" s="689" t="s">
        <v>506</v>
      </c>
      <c r="F76" s="690"/>
      <c r="G76" s="690"/>
      <c r="H76" s="690"/>
      <c r="I76" s="690"/>
      <c r="J76" s="690"/>
      <c r="K76" s="690"/>
      <c r="L76" s="690"/>
      <c r="M76" s="690"/>
      <c r="N76" s="690"/>
      <c r="O76" s="690"/>
      <c r="P76" s="690"/>
      <c r="Q76" s="144"/>
    </row>
    <row r="77" spans="2:17" x14ac:dyDescent="0.25">
      <c r="B77" s="144"/>
      <c r="C77" s="356"/>
      <c r="D77" s="356"/>
      <c r="E77" s="144"/>
      <c r="F77" s="144"/>
      <c r="G77" s="144"/>
      <c r="H77" s="144"/>
      <c r="I77" s="144"/>
      <c r="J77" s="144"/>
      <c r="K77" s="144"/>
      <c r="L77" s="144"/>
      <c r="M77" s="144"/>
      <c r="N77" s="144"/>
      <c r="O77" s="144"/>
      <c r="P77" s="144"/>
      <c r="Q77" s="144"/>
    </row>
    <row r="78" spans="2:17" ht="62.25" customHeight="1" x14ac:dyDescent="0.25">
      <c r="B78" s="144"/>
      <c r="C78" s="356" t="s">
        <v>556</v>
      </c>
      <c r="D78" s="356"/>
      <c r="E78" s="689" t="s">
        <v>507</v>
      </c>
      <c r="F78" s="689"/>
      <c r="G78" s="689"/>
      <c r="H78" s="689"/>
      <c r="I78" s="689"/>
      <c r="J78" s="689"/>
      <c r="K78" s="689"/>
      <c r="L78" s="689"/>
      <c r="M78" s="689"/>
      <c r="N78" s="689"/>
      <c r="O78" s="689"/>
      <c r="P78" s="689"/>
      <c r="Q78" s="144"/>
    </row>
    <row r="79" spans="2:17" x14ac:dyDescent="0.25">
      <c r="B79" s="144"/>
      <c r="C79" s="356"/>
      <c r="D79" s="356"/>
      <c r="E79" s="144"/>
      <c r="F79" s="144"/>
      <c r="G79" s="144"/>
      <c r="H79" s="144"/>
      <c r="I79" s="144"/>
      <c r="J79" s="144"/>
      <c r="K79" s="144"/>
      <c r="L79" s="144"/>
      <c r="M79" s="144"/>
      <c r="N79" s="144"/>
      <c r="O79" s="144"/>
      <c r="P79" s="144"/>
      <c r="Q79" s="144"/>
    </row>
    <row r="80" spans="2:17" x14ac:dyDescent="0.25">
      <c r="B80" s="144"/>
      <c r="C80" s="144" t="s">
        <v>557</v>
      </c>
      <c r="D80" s="144"/>
      <c r="E80" s="690" t="s">
        <v>508</v>
      </c>
      <c r="F80" s="690"/>
      <c r="G80" s="690"/>
      <c r="H80" s="690"/>
      <c r="I80" s="690"/>
      <c r="J80" s="690"/>
      <c r="K80" s="690"/>
      <c r="L80" s="690"/>
      <c r="M80" s="690"/>
      <c r="N80" s="690"/>
      <c r="O80" s="690"/>
      <c r="P80" s="690"/>
      <c r="Q80" s="144"/>
    </row>
    <row r="81" spans="2:17" x14ac:dyDescent="0.25">
      <c r="B81" s="144"/>
      <c r="C81" s="144"/>
      <c r="D81" s="144"/>
      <c r="E81" s="144"/>
      <c r="F81" s="144"/>
      <c r="G81" s="144"/>
      <c r="H81" s="144"/>
      <c r="I81" s="144"/>
      <c r="J81" s="144"/>
      <c r="K81" s="144"/>
      <c r="L81" s="144"/>
      <c r="M81" s="144"/>
      <c r="N81" s="144"/>
      <c r="O81" s="144"/>
      <c r="P81" s="144"/>
      <c r="Q81" s="144"/>
    </row>
  </sheetData>
  <mergeCells count="47">
    <mergeCell ref="C51:D51"/>
    <mergeCell ref="C52:C53"/>
    <mergeCell ref="C54:C55"/>
    <mergeCell ref="C56:C57"/>
    <mergeCell ref="C58:C59"/>
    <mergeCell ref="C27:L27"/>
    <mergeCell ref="C39:C40"/>
    <mergeCell ref="C41:C42"/>
    <mergeCell ref="C43:C44"/>
    <mergeCell ref="C38:D38"/>
    <mergeCell ref="E64:P64"/>
    <mergeCell ref="E76:P76"/>
    <mergeCell ref="E78:P78"/>
    <mergeCell ref="E28:H28"/>
    <mergeCell ref="I28:L28"/>
    <mergeCell ref="E80:P80"/>
    <mergeCell ref="C25:L25"/>
    <mergeCell ref="C30:D30"/>
    <mergeCell ref="C32:D32"/>
    <mergeCell ref="C35:D35"/>
    <mergeCell ref="C34:D34"/>
    <mergeCell ref="E66:P66"/>
    <mergeCell ref="E70:P70"/>
    <mergeCell ref="E68:P68"/>
    <mergeCell ref="E72:P72"/>
    <mergeCell ref="E74:P74"/>
    <mergeCell ref="C33:D33"/>
    <mergeCell ref="E30:H30"/>
    <mergeCell ref="I30:L30"/>
    <mergeCell ref="C29:L29"/>
    <mergeCell ref="C28:D28"/>
    <mergeCell ref="C5:D5"/>
    <mergeCell ref="C6:D6"/>
    <mergeCell ref="C7:D7"/>
    <mergeCell ref="C26:D26"/>
    <mergeCell ref="C23:D24"/>
    <mergeCell ref="D22:L22"/>
    <mergeCell ref="E6:H6"/>
    <mergeCell ref="I6:L6"/>
    <mergeCell ref="C8:L8"/>
    <mergeCell ref="C9:D9"/>
    <mergeCell ref="C13:L13"/>
    <mergeCell ref="C14:D14"/>
    <mergeCell ref="C18:L18"/>
    <mergeCell ref="C20:L20"/>
    <mergeCell ref="E26:H26"/>
    <mergeCell ref="I26:L26"/>
  </mergeCells>
  <pageMargins left="0.70866141732283472" right="0.70866141732283472" top="0.74803149606299213" bottom="0.74803149606299213" header="0.31496062992125984" footer="0.31496062992125984"/>
  <pageSetup scale="48" fitToHeight="0" orientation="landscape" r:id="rId1"/>
  <headerFooter>
    <oddHeader>&amp;C&amp;A</oddHeader>
    <oddFooter>&amp;CPage &amp;P of &amp;N</oddFooter>
  </headerFooter>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Guide</vt:lpstr>
      <vt:lpstr>Capital Costs Details</vt:lpstr>
      <vt:lpstr>Tariff Inputs</vt:lpstr>
      <vt:lpstr>Loan Drawdown</vt:lpstr>
      <vt:lpstr>Load Profile</vt:lpstr>
      <vt:lpstr>Tariff Calculator</vt:lpstr>
      <vt:lpstr>Loan Repayment</vt:lpstr>
      <vt:lpstr>Financials</vt:lpstr>
      <vt:lpstr>Outputs Summary</vt:lpstr>
      <vt:lpstr>Sensitivity</vt:lpstr>
      <vt:lpstr>'Tariff Inputs'!Currency</vt:lpstr>
      <vt:lpstr>Currency</vt:lpstr>
      <vt:lpstr>'Capital Costs Details'!Print_Area</vt:lpstr>
      <vt:lpstr>'Loan Drawdown'!Print_Area</vt:lpstr>
      <vt:lpstr>'Loan Repayment'!Print_Area</vt:lpstr>
      <vt:lpstr>'Outputs Summary'!Print_Area</vt:lpstr>
      <vt:lpstr>Sensitivity!Print_Area</vt:lpstr>
      <vt:lpstr>'Tariff Calculator'!Print_Area</vt:lpstr>
      <vt:lpstr>'Tariff Inputs'!Print_Area</vt:lpstr>
      <vt:lpstr>'Capital Costs Details'!Print_Titles</vt:lpstr>
      <vt:lpstr>'Loan Drawdown'!Print_Titles</vt:lpstr>
      <vt:lpstr>'Tariff Calculator'!Print_Titles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Gladys Njoroge</cp:lastModifiedBy>
  <cp:lastPrinted>2017-10-07T06:52:56Z</cp:lastPrinted>
  <dcterms:created xsi:type="dcterms:W3CDTF">2017-06-17T13:42:13Z</dcterms:created>
  <dcterms:modified xsi:type="dcterms:W3CDTF">2020-03-19T09:54:45Z</dcterms:modified>
</cp:coreProperties>
</file>